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://tsdoc01:30969/sites/TeamShare.1.Produktion.c4337f31-7ad6-4057-af78-e4190dbb5a05/section_15/59259/592-133811/Opd-176111/"/>
    </mc:Choice>
  </mc:AlternateContent>
  <xr:revisionPtr revIDLastSave="0" documentId="13_ncr:1_{2FFEE66F-4F7B-46C5-BDBE-1E604E99B47E}" xr6:coauthVersionLast="47" xr6:coauthVersionMax="47" xr10:uidLastSave="{00000000-0000-0000-0000-000000000000}"/>
  <workbookProtection workbookAlgorithmName="SHA-512" workbookHashValue="68wCjgtEAZEn8UFxmFC0zO1d+c1Q1Jd5zwYPqgYIRPYDwgtzma0jdnIPsu/NDcaamVc+kFvOp3ltxi4BjHQcIg==" workbookSaltValue="r6TMjOGPCkwQCrmGOayi1Q==" workbookSpinCount="100000" lockStructure="1"/>
  <bookViews>
    <workbookView xWindow="-120" yWindow="-120" windowWidth="29040" windowHeight="15840" activeTab="1" xr2:uid="{00000000-000D-0000-FFFF-FFFF00000000}"/>
  </bookViews>
  <sheets>
    <sheet name="Vejledning" sheetId="6" r:id="rId1"/>
    <sheet name="TCO-model, flextrafik" sheetId="1" r:id="rId2"/>
    <sheet name="LISTE" sheetId="5" state="hidden" r:id="rId3"/>
  </sheets>
  <definedNames>
    <definedName name="AmpMat1">LISTE!$A$15:$F$21</definedName>
    <definedName name="AmpMat2">LISTE!$A$26:$F$32</definedName>
    <definedName name="kW">LISTE!$A$4:$A$10</definedName>
    <definedName name="Lader">LISTE!$B$4:$D$10</definedName>
    <definedName name="LadMat1">LISTE!$A$14:$F$14</definedName>
    <definedName name="LadMat2">LISTE!$A$25:$F$25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8" i="1" l="1"/>
  <c r="H116" i="1"/>
  <c r="H15" i="1"/>
  <c r="AA54" i="1"/>
  <c r="AA52" i="1"/>
  <c r="AA34" i="1"/>
  <c r="AA30" i="1"/>
  <c r="AA28" i="1"/>
  <c r="AA26" i="1"/>
  <c r="AA24" i="1"/>
  <c r="AA209" i="1"/>
  <c r="AA204" i="1"/>
  <c r="AA202" i="1"/>
  <c r="AA170" i="1"/>
  <c r="AA168" i="1"/>
  <c r="AA166" i="1"/>
  <c r="U54" i="1"/>
  <c r="U52" i="1"/>
  <c r="N34" i="1"/>
  <c r="N30" i="1"/>
  <c r="N28" i="1"/>
  <c r="N26" i="1"/>
  <c r="N24" i="1"/>
  <c r="U209" i="1"/>
  <c r="U204" i="1"/>
  <c r="U202" i="1"/>
  <c r="AA179" i="1"/>
  <c r="AA177" i="1"/>
  <c r="AA190" i="1"/>
  <c r="AA186" i="1"/>
  <c r="AA197" i="1"/>
  <c r="AA195" i="1"/>
  <c r="U190" i="1"/>
  <c r="U186" i="1"/>
  <c r="U179" i="1"/>
  <c r="U177" i="1"/>
  <c r="U170" i="1"/>
  <c r="U168" i="1"/>
  <c r="U166" i="1"/>
  <c r="U161" i="1"/>
  <c r="AA143" i="1"/>
  <c r="AA141" i="1"/>
  <c r="U64" i="1"/>
  <c r="U62" i="1"/>
  <c r="AA56" i="1"/>
  <c r="N54" i="1"/>
  <c r="N52" i="1"/>
  <c r="AA43" i="1"/>
  <c r="U39" i="1"/>
  <c r="U34" i="1"/>
  <c r="U30" i="1"/>
  <c r="U28" i="1"/>
  <c r="U26" i="1"/>
  <c r="U24" i="1"/>
  <c r="U22" i="1"/>
  <c r="U17" i="1"/>
  <c r="U15" i="1"/>
  <c r="U7" i="1"/>
  <c r="U228" i="1"/>
  <c r="U224" i="1"/>
  <c r="U220" i="1"/>
  <c r="U216" i="1"/>
  <c r="N209" i="1"/>
  <c r="N204" i="1"/>
  <c r="N202" i="1"/>
  <c r="N197" i="1"/>
  <c r="N195" i="1"/>
  <c r="N190" i="1"/>
  <c r="N186" i="1"/>
  <c r="N179" i="1"/>
  <c r="N177" i="1"/>
  <c r="N170" i="1"/>
  <c r="N168" i="1"/>
  <c r="N166" i="1"/>
  <c r="H161" i="1"/>
  <c r="AA154" i="1"/>
  <c r="AA152" i="1"/>
  <c r="U143" i="1"/>
  <c r="U141" i="1"/>
  <c r="U118" i="1"/>
  <c r="U116" i="1"/>
  <c r="U108" i="1"/>
  <c r="U104" i="1"/>
  <c r="U97" i="1"/>
  <c r="U91" i="1"/>
  <c r="U89" i="1"/>
  <c r="U82" i="1"/>
  <c r="U78" i="1"/>
  <c r="U72" i="1"/>
  <c r="U70" i="1"/>
  <c r="H64" i="1"/>
  <c r="H62" i="1"/>
  <c r="N56" i="1"/>
  <c r="H54" i="1"/>
  <c r="H52" i="1"/>
  <c r="U47" i="1"/>
  <c r="N43" i="1"/>
  <c r="H39" i="1"/>
  <c r="H34" i="1"/>
  <c r="H30" i="1"/>
  <c r="H28" i="1"/>
  <c r="H26" i="1"/>
  <c r="H24" i="1"/>
  <c r="H22" i="1"/>
  <c r="H17" i="1"/>
  <c r="H7" i="1"/>
  <c r="H228" i="1"/>
  <c r="H224" i="1"/>
  <c r="H220" i="1"/>
  <c r="H216" i="1"/>
  <c r="H209" i="1"/>
  <c r="H204" i="1"/>
  <c r="H202" i="1"/>
  <c r="H190" i="1"/>
  <c r="H186" i="1"/>
  <c r="H179" i="1"/>
  <c r="H177" i="1"/>
  <c r="H170" i="1"/>
  <c r="H168" i="1"/>
  <c r="H166" i="1"/>
  <c r="N154" i="1"/>
  <c r="N152" i="1"/>
  <c r="N143" i="1"/>
  <c r="N141" i="1"/>
  <c r="H108" i="1"/>
  <c r="H97" i="1"/>
  <c r="H91" i="1"/>
  <c r="H89" i="1"/>
  <c r="H82" i="1"/>
  <c r="H78" i="1"/>
  <c r="U74" i="1"/>
  <c r="H74" i="1"/>
  <c r="H72" i="1"/>
  <c r="H70" i="1"/>
  <c r="S66" i="1"/>
  <c r="U66" i="1" s="1"/>
  <c r="F66" i="1"/>
  <c r="H66" i="1" s="1"/>
  <c r="G15" i="5" l="1"/>
  <c r="G16" i="5"/>
  <c r="G17" i="5"/>
  <c r="G18" i="5"/>
  <c r="G19" i="5"/>
  <c r="G20" i="5"/>
  <c r="G21" i="5"/>
  <c r="G32" i="5"/>
  <c r="G31" i="5"/>
  <c r="G30" i="5"/>
  <c r="G29" i="5"/>
  <c r="G28" i="5"/>
  <c r="G27" i="5"/>
  <c r="G26" i="5"/>
  <c r="H134" i="1"/>
  <c r="U134" i="1"/>
  <c r="S122" i="1"/>
  <c r="U122" i="1" s="1"/>
  <c r="U120" i="1"/>
  <c r="A29" i="5"/>
  <c r="F122" i="1"/>
  <c r="H122" i="1" s="1"/>
  <c r="H120" i="1"/>
  <c r="U214" i="1"/>
  <c r="U84" i="1"/>
  <c r="U80" i="1"/>
  <c r="S11" i="1"/>
  <c r="U11" i="1" s="1"/>
  <c r="S5" i="1"/>
  <c r="U5" i="1" s="1"/>
  <c r="H214" i="1"/>
  <c r="N206" i="1" l="1"/>
  <c r="H86" i="1"/>
  <c r="N199" i="1"/>
  <c r="N211" i="1"/>
  <c r="N58" i="1"/>
  <c r="U206" i="1"/>
  <c r="AA211" i="1"/>
  <c r="AA58" i="1"/>
  <c r="U163" i="1"/>
  <c r="U211" i="1"/>
  <c r="AA206" i="1"/>
  <c r="AA199" i="1"/>
  <c r="U58" i="1"/>
  <c r="F126" i="1"/>
  <c r="H126" i="1" s="1"/>
  <c r="A31" i="5"/>
  <c r="A30" i="5"/>
  <c r="S128" i="1" s="1"/>
  <c r="A28" i="5"/>
  <c r="A27" i="5"/>
  <c r="S126" i="1"/>
  <c r="U126" i="1" s="1"/>
  <c r="A26" i="5"/>
  <c r="A32" i="5"/>
  <c r="A15" i="5"/>
  <c r="A18" i="5"/>
  <c r="A20" i="5"/>
  <c r="F128" i="1" s="1"/>
  <c r="H128" i="1" s="1"/>
  <c r="A19" i="5"/>
  <c r="A21" i="5"/>
  <c r="A16" i="5"/>
  <c r="A17" i="5"/>
  <c r="U124" i="1"/>
  <c r="H124" i="1"/>
  <c r="U226" i="1"/>
  <c r="U49" i="1"/>
  <c r="U68" i="1"/>
  <c r="U76" i="1" s="1"/>
  <c r="U86" i="1" s="1"/>
  <c r="U9" i="1"/>
  <c r="U41" i="1" s="1"/>
  <c r="U106" i="1"/>
  <c r="U218" i="1" s="1"/>
  <c r="U222" i="1" s="1"/>
  <c r="U93" i="1"/>
  <c r="AA32" i="1"/>
  <c r="AA36" i="1" s="1"/>
  <c r="U32" i="1"/>
  <c r="U36" i="1" s="1"/>
  <c r="N32" i="1"/>
  <c r="N36" i="1" s="1"/>
  <c r="U128" i="1" l="1"/>
  <c r="U130" i="1" s="1"/>
  <c r="U132" i="1" s="1"/>
  <c r="U136" i="1" s="1"/>
  <c r="U138" i="1" s="1"/>
  <c r="U147" i="1"/>
  <c r="U149" i="1" s="1"/>
  <c r="H130" i="1"/>
  <c r="H132" i="1" s="1"/>
  <c r="H136" i="1" s="1"/>
  <c r="H138" i="1" s="1"/>
  <c r="U13" i="1"/>
  <c r="AA45" i="1"/>
  <c r="S233" i="1" s="1"/>
  <c r="AA188" i="1"/>
  <c r="AA192" i="1" s="1"/>
  <c r="AA181" i="1"/>
  <c r="AA183" i="1" s="1"/>
  <c r="AA172" i="1"/>
  <c r="AA174" i="1" s="1"/>
  <c r="U172" i="1"/>
  <c r="U174" i="1" s="1"/>
  <c r="U181" i="1"/>
  <c r="U183" i="1" s="1"/>
  <c r="U188" i="1"/>
  <c r="U192" i="1" s="1"/>
  <c r="U233" i="1" l="1"/>
  <c r="F104" i="1" l="1"/>
  <c r="H104" i="1" s="1"/>
  <c r="H58" i="1"/>
  <c r="H80" i="1"/>
  <c r="H84" i="1"/>
  <c r="H163" i="1"/>
  <c r="H206" i="1"/>
  <c r="H211" i="1"/>
  <c r="F11" i="1"/>
  <c r="H11" i="1" s="1"/>
  <c r="U230" i="1" l="1"/>
  <c r="H226" i="1"/>
  <c r="H230" i="1" s="1"/>
  <c r="H32" i="1"/>
  <c r="H36" i="1" s="1"/>
  <c r="F5" i="1"/>
  <c r="H5" i="1" s="1"/>
  <c r="H68" i="1"/>
  <c r="H76" i="1" s="1"/>
  <c r="H106" i="1" l="1"/>
  <c r="H218" i="1" s="1"/>
  <c r="H222" i="1" s="1"/>
  <c r="H93" i="1"/>
  <c r="H102" i="1" s="1"/>
  <c r="H9" i="1"/>
  <c r="H188" i="1" l="1"/>
  <c r="H192" i="1" s="1"/>
  <c r="H181" i="1"/>
  <c r="H183" i="1" s="1"/>
  <c r="N45" i="1"/>
  <c r="F233" i="1" s="1"/>
  <c r="H172" i="1"/>
  <c r="H174" i="1" s="1"/>
  <c r="N172" i="1"/>
  <c r="N174" i="1" s="1"/>
  <c r="N181" i="1"/>
  <c r="N183" i="1" s="1"/>
  <c r="N188" i="1"/>
  <c r="N192" i="1" s="1"/>
  <c r="U102" i="1"/>
  <c r="U110" i="1" s="1"/>
  <c r="U112" i="1" s="1"/>
  <c r="U95" i="1"/>
  <c r="U99" i="1" s="1"/>
  <c r="AC214" i="1"/>
  <c r="H13" i="1"/>
  <c r="H41" i="1"/>
  <c r="H95" i="1" s="1"/>
  <c r="H99" i="1" s="1"/>
  <c r="U236" i="1" l="1"/>
  <c r="H233" i="1"/>
  <c r="H247" i="1" s="1"/>
  <c r="H243" i="1"/>
  <c r="N156" i="1"/>
  <c r="N158" i="1" s="1"/>
  <c r="AA145" i="1"/>
  <c r="AA149" i="1" s="1"/>
  <c r="AA156" i="1"/>
  <c r="AA158" i="1" s="1"/>
  <c r="N145" i="1"/>
  <c r="N149" i="1" s="1"/>
  <c r="H110" i="1"/>
  <c r="H112" i="1" s="1"/>
  <c r="H236" i="1" s="1"/>
  <c r="AA236" i="1" l="1"/>
  <c r="U238" i="1" s="1"/>
  <c r="N236" i="1"/>
  <c r="H238" i="1" l="1"/>
  <c r="H241" i="1" l="1"/>
  <c r="H245" i="1" l="1"/>
  <c r="H249" i="1"/>
</calcChain>
</file>

<file path=xl/sharedStrings.xml><?xml version="1.0" encoding="utf-8"?>
<sst xmlns="http://schemas.openxmlformats.org/spreadsheetml/2006/main" count="296" uniqueCount="180">
  <si>
    <t>%</t>
  </si>
  <si>
    <t>kr./år</t>
  </si>
  <si>
    <t>km</t>
  </si>
  <si>
    <t>stk.</t>
  </si>
  <si>
    <t>DÆK</t>
  </si>
  <si>
    <t>DRIVMIDDEL</t>
  </si>
  <si>
    <t>kr./l</t>
  </si>
  <si>
    <t>kr./kWh</t>
  </si>
  <si>
    <t>AdBlue</t>
  </si>
  <si>
    <t>l/år</t>
  </si>
  <si>
    <t>ADDITIV</t>
  </si>
  <si>
    <t>el, forbrug</t>
  </si>
  <si>
    <t>kWh/km</t>
  </si>
  <si>
    <t>EL</t>
  </si>
  <si>
    <t>DIESEL</t>
  </si>
  <si>
    <t>SERVICE</t>
  </si>
  <si>
    <t>kr./stk.</t>
  </si>
  <si>
    <t>service</t>
  </si>
  <si>
    <t>AdBlueforbrug af dieselforbrug (km/l)</t>
  </si>
  <si>
    <t>SAMLET</t>
  </si>
  <si>
    <t>km/t</t>
  </si>
  <si>
    <t>l/time</t>
  </si>
  <si>
    <t>km/år</t>
  </si>
  <si>
    <t>A</t>
  </si>
  <si>
    <t>restværdi</t>
  </si>
  <si>
    <t>forsikring</t>
  </si>
  <si>
    <t>BILMATERIEL</t>
  </si>
  <si>
    <t>ladeboks</t>
  </si>
  <si>
    <t>tilslutningsafgift</t>
  </si>
  <si>
    <t>elinstallation</t>
  </si>
  <si>
    <t>NATLADNING</t>
  </si>
  <si>
    <t>LADNING PÅ FARTEN</t>
  </si>
  <si>
    <t>ejerafgift</t>
  </si>
  <si>
    <t>udligningsafgift</t>
  </si>
  <si>
    <t>andel af ladning</t>
  </si>
  <si>
    <t>ydelse</t>
  </si>
  <si>
    <t>abonnement, refussion</t>
  </si>
  <si>
    <t>p-plads, leje</t>
  </si>
  <si>
    <t>kr./mdr</t>
  </si>
  <si>
    <t>rente, ladeanlæg</t>
  </si>
  <si>
    <t>afskrivning, ladeanlæg</t>
  </si>
  <si>
    <t>afskrivning, bilkøb</t>
  </si>
  <si>
    <t>rente, bilkøb</t>
  </si>
  <si>
    <t>diesel, rabat</t>
  </si>
  <si>
    <t>bremser levetid</t>
  </si>
  <si>
    <t>foliering</t>
  </si>
  <si>
    <t>år</t>
  </si>
  <si>
    <t>købspris (ekskl. afgift, inkl. moms)</t>
  </si>
  <si>
    <t>kr.</t>
  </si>
  <si>
    <t>%/år</t>
  </si>
  <si>
    <t>omkostning, bilmateriel</t>
  </si>
  <si>
    <t>kr./A</t>
  </si>
  <si>
    <t>ampere</t>
  </si>
  <si>
    <t>kr./mdr.</t>
  </si>
  <si>
    <t>ladetab</t>
  </si>
  <si>
    <t xml:space="preserve">el, pris </t>
  </si>
  <si>
    <t>refussion</t>
  </si>
  <si>
    <t>el,forbrug natopladning</t>
  </si>
  <si>
    <t>FORBRUG</t>
  </si>
  <si>
    <t>el, fremdrift</t>
  </si>
  <si>
    <t>diesel, fremdrift</t>
  </si>
  <si>
    <t>diesel, kabineopvarmning</t>
  </si>
  <si>
    <t>timer/år</t>
  </si>
  <si>
    <t>GARAGEANLÆG</t>
  </si>
  <si>
    <t>omkostning, garageanlæg</t>
  </si>
  <si>
    <t>AFGIFTER OG FORSIKRIING</t>
  </si>
  <si>
    <t>omkostninger, afgifter + forsikring</t>
  </si>
  <si>
    <t>omkostning, natladning</t>
  </si>
  <si>
    <t>omkostning, ladning på farten</t>
  </si>
  <si>
    <t>diesel, pris</t>
  </si>
  <si>
    <t>diesel, omkostning fremdrift</t>
  </si>
  <si>
    <t>diesel, omkostning kabineopvarmning</t>
  </si>
  <si>
    <t>omkostning, diesel</t>
  </si>
  <si>
    <t>omkostning, AdBlue</t>
  </si>
  <si>
    <t>dæk/bil</t>
  </si>
  <si>
    <t>dækforbrug</t>
  </si>
  <si>
    <t xml:space="preserve">omkostning, dæk  </t>
  </si>
  <si>
    <t xml:space="preserve">omkostning, service </t>
  </si>
  <si>
    <t>km/service</t>
  </si>
  <si>
    <t>kr./service</t>
  </si>
  <si>
    <t>REPARATIONER</t>
  </si>
  <si>
    <t>reparationer</t>
  </si>
  <si>
    <t xml:space="preserve">omkostning, reparationer </t>
  </si>
  <si>
    <t>BREMSER</t>
  </si>
  <si>
    <t>dæk</t>
  </si>
  <si>
    <t>dæk levetid</t>
  </si>
  <si>
    <t>PARTIKELFILTER</t>
  </si>
  <si>
    <t>partikelfilter</t>
  </si>
  <si>
    <t>OMFOLIERING</t>
  </si>
  <si>
    <t xml:space="preserve">omkostning, omfoliering </t>
  </si>
  <si>
    <t>bremseskift</t>
  </si>
  <si>
    <t>BATTERI</t>
  </si>
  <si>
    <t>batteriudskiftning</t>
  </si>
  <si>
    <t>omkostning, batteriudskiftning</t>
  </si>
  <si>
    <t>omkostning, samlet</t>
  </si>
  <si>
    <t>rækkevidde, anvendelig i flextrafik</t>
  </si>
  <si>
    <t>dagskørsel</t>
  </si>
  <si>
    <t>km/dag</t>
  </si>
  <si>
    <t>årskørsel</t>
  </si>
  <si>
    <t>dage/år</t>
  </si>
  <si>
    <t>ladeeffekt</t>
  </si>
  <si>
    <t>ladetid</t>
  </si>
  <si>
    <t>min</t>
  </si>
  <si>
    <t>Type</t>
  </si>
  <si>
    <t>min/dag</t>
  </si>
  <si>
    <t>Standardværdi</t>
  </si>
  <si>
    <t>Brugerværdi</t>
  </si>
  <si>
    <t>Anvendt værdi</t>
  </si>
  <si>
    <t>PRODUKTIONSTAB</t>
  </si>
  <si>
    <t xml:space="preserve">omkostningsfri ladepause  </t>
  </si>
  <si>
    <t xml:space="preserve">ekstra kørsel ifm. ladepause </t>
  </si>
  <si>
    <t>kr./time</t>
  </si>
  <si>
    <t>produktionstab, drift</t>
  </si>
  <si>
    <t>produktionstab, trafikstyring</t>
  </si>
  <si>
    <t>Type 1-biler</t>
  </si>
  <si>
    <t>gennemsnitlig hastighed</t>
  </si>
  <si>
    <t>Stamdata</t>
  </si>
  <si>
    <t>antal biler</t>
  </si>
  <si>
    <t>Type 4-biler</t>
  </si>
  <si>
    <t>projektperiode</t>
  </si>
  <si>
    <t>merpris ved el</t>
  </si>
  <si>
    <t>CO2-reduktion</t>
  </si>
  <si>
    <t>tons CO2e</t>
  </si>
  <si>
    <t>CO2-reduktion i projektperioden</t>
  </si>
  <si>
    <t>kr./tons CO2e</t>
  </si>
  <si>
    <t>LADESTATIONER</t>
  </si>
  <si>
    <t>lokaliteter</t>
  </si>
  <si>
    <t>ladere</t>
  </si>
  <si>
    <t>150 (2*75)</t>
  </si>
  <si>
    <t>240 (2*120)</t>
  </si>
  <si>
    <t>Ampere</t>
  </si>
  <si>
    <t>300 (2*150)</t>
  </si>
  <si>
    <t>350 (2*175)</t>
  </si>
  <si>
    <t>Installation</t>
  </si>
  <si>
    <t>Første</t>
  </si>
  <si>
    <t>Anden</t>
  </si>
  <si>
    <t>100 (2*50)</t>
  </si>
  <si>
    <t>Lader</t>
  </si>
  <si>
    <t>kW</t>
  </si>
  <si>
    <t>Kr.</t>
  </si>
  <si>
    <t>installation</t>
  </si>
  <si>
    <t>kr./lokalitet</t>
  </si>
  <si>
    <t>Amp/lokalitet</t>
  </si>
  <si>
    <t>omkostning pr. lokalitet</t>
  </si>
  <si>
    <t>omkostning</t>
  </si>
  <si>
    <t>moms</t>
  </si>
  <si>
    <t>merpris i alt</t>
  </si>
  <si>
    <t>CO2-reduktion i alt</t>
  </si>
  <si>
    <t>støtteberettiget merpris</t>
  </si>
  <si>
    <t>ladere pr. lokalitet</t>
  </si>
  <si>
    <t>stk./lokalitet</t>
  </si>
  <si>
    <t>TBB2022</t>
  </si>
  <si>
    <t>KODE:</t>
  </si>
  <si>
    <t>Dette værktøj er udarbejdet af Movia i samarbejde med Trafikselskaberne i Danmark og Trafikstyrelsen.</t>
  </si>
  <si>
    <t>Værktøjet er udviklet til beregning af merpris ved anvendelse af elbiler i flextrafik.</t>
  </si>
  <si>
    <t>Værktøjet understøtter følgende bilyper: alm. personbiler (type 1-biler) og minibusser med lift (type 4-biler).</t>
  </si>
  <si>
    <t>Version 1.0</t>
  </si>
  <si>
    <t>Værktøjet anvender standardværdier. Det er muligt at i stedet at angive brugerværdier i de hvide inputfelter.</t>
  </si>
  <si>
    <t>Værktøjet understøtter desuden hurtig- og lynladestationer (&gt;50 kW). Et projekt kan omfatte elbiler og/eller ladestationer.</t>
  </si>
  <si>
    <t>inputværdi (bruger/standard)</t>
  </si>
  <si>
    <t>beregningsværdi</t>
  </si>
  <si>
    <t>omkostningspost</t>
  </si>
  <si>
    <t>summeret omkostning</t>
  </si>
  <si>
    <t>merpris for elbilløsning</t>
  </si>
  <si>
    <t>Forklaring af anvendte værdier</t>
  </si>
  <si>
    <t>støtteprocent</t>
  </si>
  <si>
    <t>kr./bil</t>
  </si>
  <si>
    <t>kr./bil/år</t>
  </si>
  <si>
    <t>kWh/bil/år</t>
  </si>
  <si>
    <t>l/bil/år</t>
  </si>
  <si>
    <t>stk./bil/år</t>
  </si>
  <si>
    <t>service/bil/år</t>
  </si>
  <si>
    <t>omkostning, partikelfilter</t>
  </si>
  <si>
    <t>værdier anvendes til budgetskema</t>
  </si>
  <si>
    <t>km/l</t>
  </si>
  <si>
    <t>kW/lader</t>
  </si>
  <si>
    <t>PROJEKTANSØGNING</t>
  </si>
  <si>
    <t>De type 4-elbiler,som findes på markedet i dag er alle udstyret med et dieselfyr. Dieselfyret kan anvende HVO. Det vil i de fleste tilfælde dog ikke være praktisk muligt for operatøren at tanke HVO100 på dieselfyret, da det i dag kun er ganske få tankstationer, som tilbyder dette. Da bilerne ofte står decentralt vil det heller ikke være muligt for operatøren, at tanke dem ved egen HVO-tank. Det er derfor antaget, at bilens fyr anvender diesel B7.</t>
  </si>
  <si>
    <t>De værdier, som skal anvendes til ansøgningsskemaet fremgår af "TCO-model, flextrafik" under PROJEKTANSØGNING. Det er muligt at anvende skemaet til at lave én samlet ansøgning, som både omfatter type 1-elbiler, type 4-elbiler og/eller ladestationer.</t>
  </si>
  <si>
    <t>Drivmiddelpriser er baseret på forventninger til de gennemsnitlige priser vognmænd betaler over projektperioden. Prisniveuauet er ekstraordinært højt for både el og diesel i 2022, og det er derfor ikke prisniveauet for 2022, som er lagt til grund.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</si>
</sst>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kr.&quot;;[Red]\-#,##0\ &quot;kr.&quot;"/>
    <numFmt numFmtId="164" formatCode="_-* #,##0.00\ _k_r_._-;\-* #,##0.00\ _k_r_._-;_-* &quot;-&quot;??\ _k_r_._-;_-@_-"/>
    <numFmt numFmtId="165" formatCode="_ * #,##0_ ;_ * \-#,##0_ ;_ * &quot;-&quot;??_ ;_ @_ "/>
    <numFmt numFmtId="166" formatCode="_-* #,##0\ _k_r_._-;\-* #,##0\ _k_r_._-;_-* &quot;-&quot;??\ _k_r_._-;_-@_-"/>
    <numFmt numFmtId="167" formatCode="_ * #,##0.00_ ;_ * \-#,##0.00_ ;_ * &quot;-&quot;??_ ;_ @_ "/>
    <numFmt numFmtId="168" formatCode="_(* #,##0.00_);_(* \(#,##0.00\);_(* &quot;-&quot;??_);_(@_)"/>
    <numFmt numFmtId="169" formatCode="_-* #,##0.0\ _k_r_._-;\-* #,##0.0\ _k_r_._-;_-* &quot;-&quot;??\ _k_r_._-;_-@_-"/>
    <numFmt numFmtId="170" formatCode="#,##0_ ;[Red]\-#,##0\ "/>
    <numFmt numFmtId="171" formatCode="_ * #,##0.0_ ;_ * \-#,##0.0_ ;_ * &quot;-&quot;??_ ;_ @_ "/>
    <numFmt numFmtId="172" formatCode="0.0%"/>
    <numFmt numFmtId="173" formatCode="_-* #,##0.0\ _k_r_._-;\-* #,##0.0\ _k_r_._-;_-* &quot;-&quot;?\ _k_r_._-;_-@_-"/>
    <numFmt numFmtId="174" formatCode="#,##0.0_ ;\-#,##0.0\ 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Verdana"/>
      <family val="2"/>
    </font>
    <font>
      <sz val="9"/>
      <color theme="1"/>
      <name val="Arial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8"/>
      <name val="Arial"/>
      <family val="2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rial"/>
      <family val="2"/>
      <scheme val="minor"/>
    </font>
    <font>
      <sz val="8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8999908444471571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mediumDashed">
        <color auto="1"/>
      </left>
      <right/>
      <top/>
      <bottom/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</borders>
  <cellStyleXfs count="2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4" fillId="0" borderId="0" applyNumberFormat="0" applyFont="0" applyFill="0" applyBorder="0" applyAlignment="0" applyProtection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Border="0" applyAlignment="0"/>
    <xf numFmtId="9" fontId="9" fillId="0" borderId="0" applyFont="0" applyFill="0" applyBorder="0" applyAlignment="0" applyProtection="0"/>
  </cellStyleXfs>
  <cellXfs count="103">
    <xf numFmtId="0" fontId="0" fillId="0" borderId="0" xfId="0"/>
    <xf numFmtId="0" fontId="8" fillId="0" borderId="0" xfId="0" applyFont="1"/>
    <xf numFmtId="0" fontId="8" fillId="0" borderId="0" xfId="0" applyFont="1" applyFill="1"/>
    <xf numFmtId="0" fontId="7" fillId="0" borderId="0" xfId="0" applyFont="1" applyFill="1"/>
    <xf numFmtId="0" fontId="8" fillId="0" borderId="0" xfId="0" applyFont="1" applyBorder="1"/>
    <xf numFmtId="166" fontId="8" fillId="6" borderId="0" xfId="0" applyNumberFormat="1" applyFont="1" applyFill="1" applyBorder="1"/>
    <xf numFmtId="166" fontId="8" fillId="5" borderId="0" xfId="1" applyNumberFormat="1" applyFont="1" applyFill="1" applyBorder="1" applyAlignment="1">
      <alignment horizontal="center"/>
    </xf>
    <xf numFmtId="166" fontId="8" fillId="3" borderId="0" xfId="1" applyNumberFormat="1" applyFont="1" applyFill="1" applyBorder="1" applyAlignment="1">
      <alignment horizontal="center"/>
    </xf>
    <xf numFmtId="3" fontId="8" fillId="4" borderId="0" xfId="0" applyNumberFormat="1" applyFont="1" applyFill="1" applyBorder="1" applyAlignment="1">
      <alignment horizontal="center"/>
    </xf>
    <xf numFmtId="170" fontId="8" fillId="4" borderId="0" xfId="0" applyNumberFormat="1" applyFont="1" applyFill="1" applyBorder="1" applyAlignment="1">
      <alignment horizontal="center"/>
    </xf>
    <xf numFmtId="166" fontId="8" fillId="4" borderId="0" xfId="1" applyNumberFormat="1" applyFont="1" applyFill="1" applyBorder="1" applyAlignment="1">
      <alignment horizontal="center"/>
    </xf>
    <xf numFmtId="9" fontId="8" fillId="4" borderId="0" xfId="0" applyNumberFormat="1" applyFont="1" applyFill="1" applyBorder="1"/>
    <xf numFmtId="166" fontId="8" fillId="4" borderId="0" xfId="1" applyNumberFormat="1" applyFont="1" applyFill="1" applyBorder="1"/>
    <xf numFmtId="169" fontId="8" fillId="4" borderId="0" xfId="1" applyNumberFormat="1" applyFont="1" applyFill="1" applyBorder="1"/>
    <xf numFmtId="3" fontId="6" fillId="4" borderId="0" xfId="23" applyNumberFormat="1" applyFont="1" applyFill="1" applyBorder="1" applyAlignment="1">
      <alignment horizontal="right" vertical="center"/>
    </xf>
    <xf numFmtId="171" fontId="8" fillId="4" borderId="0" xfId="1" applyNumberFormat="1" applyFont="1" applyFill="1" applyBorder="1" applyAlignment="1">
      <alignment horizontal="center"/>
    </xf>
    <xf numFmtId="166" fontId="8" fillId="2" borderId="0" xfId="0" applyNumberFormat="1" applyFont="1" applyFill="1" applyBorder="1"/>
    <xf numFmtId="166" fontId="8" fillId="4" borderId="1" xfId="1" applyNumberFormat="1" applyFont="1" applyFill="1" applyBorder="1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horizontal="center"/>
    </xf>
    <xf numFmtId="9" fontId="8" fillId="4" borderId="0" xfId="0" applyNumberFormat="1" applyFont="1" applyFill="1" applyBorder="1" applyAlignment="1">
      <alignment horizontal="center"/>
    </xf>
    <xf numFmtId="4" fontId="6" fillId="4" borderId="0" xfId="23" applyNumberFormat="1" applyFont="1" applyFill="1" applyBorder="1" applyAlignment="1">
      <alignment horizontal="right" vertical="center"/>
    </xf>
    <xf numFmtId="164" fontId="8" fillId="4" borderId="0" xfId="1" applyFont="1" applyFill="1" applyBorder="1"/>
    <xf numFmtId="165" fontId="8" fillId="4" borderId="0" xfId="1" applyNumberFormat="1" applyFont="1" applyFill="1" applyBorder="1"/>
    <xf numFmtId="165" fontId="8" fillId="4" borderId="0" xfId="1" applyNumberFormat="1" applyFont="1" applyFill="1" applyBorder="1" applyAlignment="1">
      <alignment horizontal="center"/>
    </xf>
    <xf numFmtId="164" fontId="7" fillId="4" borderId="0" xfId="1" applyFont="1" applyFill="1" applyBorder="1"/>
    <xf numFmtId="166" fontId="8" fillId="0" borderId="1" xfId="1" applyNumberFormat="1" applyFont="1" applyFill="1" applyBorder="1" applyAlignment="1" applyProtection="1">
      <alignment horizontal="center"/>
      <protection locked="0"/>
    </xf>
    <xf numFmtId="166" fontId="8" fillId="4" borderId="0" xfId="0" applyNumberFormat="1" applyFont="1" applyFill="1" applyBorder="1"/>
    <xf numFmtId="166" fontId="8" fillId="7" borderId="0" xfId="1" applyNumberFormat="1" applyFont="1" applyFill="1" applyBorder="1" applyAlignment="1">
      <alignment horizontal="center"/>
    </xf>
    <xf numFmtId="169" fontId="8" fillId="7" borderId="0" xfId="1" applyNumberFormat="1" applyFont="1" applyFill="1" applyBorder="1"/>
    <xf numFmtId="6" fontId="8" fillId="4" borderId="0" xfId="0" applyNumberFormat="1" applyFont="1" applyFill="1" applyBorder="1" applyAlignment="1">
      <alignment horizontal="center"/>
    </xf>
    <xf numFmtId="164" fontId="8" fillId="5" borderId="0" xfId="1" applyNumberFormat="1" applyFont="1" applyFill="1" applyBorder="1" applyAlignment="1">
      <alignment horizontal="center"/>
    </xf>
    <xf numFmtId="164" fontId="8" fillId="4" borderId="0" xfId="1" applyNumberFormat="1" applyFont="1" applyFill="1" applyBorder="1" applyAlignment="1">
      <alignment horizontal="center"/>
    </xf>
    <xf numFmtId="166" fontId="8" fillId="7" borderId="0" xfId="1" applyNumberFormat="1" applyFont="1" applyFill="1" applyBorder="1"/>
    <xf numFmtId="9" fontId="8" fillId="4" borderId="0" xfId="2" applyFont="1" applyFill="1" applyBorder="1" applyAlignment="1">
      <alignment horizontal="center"/>
    </xf>
    <xf numFmtId="9" fontId="8" fillId="4" borderId="1" xfId="2" applyFont="1" applyFill="1" applyBorder="1" applyAlignment="1">
      <alignment horizontal="center"/>
    </xf>
    <xf numFmtId="172" fontId="8" fillId="4" borderId="1" xfId="2" applyNumberFormat="1" applyFont="1" applyFill="1" applyBorder="1" applyAlignment="1">
      <alignment horizontal="center"/>
    </xf>
    <xf numFmtId="172" fontId="8" fillId="5" borderId="0" xfId="2" applyNumberFormat="1" applyFont="1" applyFill="1" applyBorder="1" applyAlignment="1">
      <alignment horizontal="center"/>
    </xf>
    <xf numFmtId="169" fontId="8" fillId="4" borderId="1" xfId="1" applyNumberFormat="1" applyFont="1" applyFill="1" applyBorder="1" applyAlignment="1">
      <alignment horizontal="center"/>
    </xf>
    <xf numFmtId="169" fontId="8" fillId="5" borderId="0" xfId="1" applyNumberFormat="1" applyFont="1" applyFill="1" applyBorder="1" applyAlignment="1">
      <alignment horizontal="center"/>
    </xf>
    <xf numFmtId="164" fontId="8" fillId="4" borderId="1" xfId="1" applyNumberFormat="1" applyFont="1" applyFill="1" applyBorder="1" applyAlignment="1">
      <alignment horizontal="center"/>
    </xf>
    <xf numFmtId="172" fontId="8" fillId="7" borderId="0" xfId="2" applyNumberFormat="1" applyFont="1" applyFill="1" applyBorder="1"/>
    <xf numFmtId="172" fontId="8" fillId="0" borderId="1" xfId="2" applyNumberFormat="1" applyFont="1" applyFill="1" applyBorder="1" applyAlignment="1" applyProtection="1">
      <alignment horizontal="center"/>
      <protection locked="0"/>
    </xf>
    <xf numFmtId="172" fontId="8" fillId="5" borderId="0" xfId="2" applyNumberFormat="1" applyFont="1" applyFill="1" applyBorder="1"/>
    <xf numFmtId="172" fontId="8" fillId="4" borderId="0" xfId="2" applyNumberFormat="1" applyFont="1" applyFill="1" applyBorder="1" applyAlignment="1">
      <alignment horizontal="center"/>
    </xf>
    <xf numFmtId="166" fontId="8" fillId="4" borderId="0" xfId="1" applyNumberFormat="1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169" fontId="8" fillId="0" borderId="1" xfId="1" applyNumberFormat="1" applyFont="1" applyFill="1" applyBorder="1" applyAlignment="1" applyProtection="1">
      <alignment horizontal="center"/>
      <protection locked="0"/>
    </xf>
    <xf numFmtId="164" fontId="8" fillId="0" borderId="1" xfId="1" applyNumberFormat="1" applyFont="1" applyFill="1" applyBorder="1" applyAlignment="1" applyProtection="1">
      <alignment horizontal="center"/>
      <protection locked="0"/>
    </xf>
    <xf numFmtId="164" fontId="8" fillId="0" borderId="1" xfId="1" applyFont="1" applyFill="1" applyBorder="1" applyAlignment="1" applyProtection="1">
      <alignment horizontal="center"/>
      <protection locked="0"/>
    </xf>
    <xf numFmtId="164" fontId="8" fillId="4" borderId="1" xfId="1" applyFont="1" applyFill="1" applyBorder="1" applyAlignment="1">
      <alignment horizontal="center"/>
    </xf>
    <xf numFmtId="3" fontId="8" fillId="4" borderId="0" xfId="0" applyNumberFormat="1" applyFont="1" applyFill="1"/>
    <xf numFmtId="173" fontId="8" fillId="4" borderId="0" xfId="0" applyNumberFormat="1" applyFont="1" applyFill="1"/>
    <xf numFmtId="164" fontId="8" fillId="4" borderId="0" xfId="1" applyFont="1" applyFill="1" applyBorder="1" applyAlignment="1">
      <alignment horizontal="center"/>
    </xf>
    <xf numFmtId="164" fontId="8" fillId="4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166" fontId="3" fillId="0" borderId="0" xfId="1" applyNumberFormat="1" applyFont="1" applyAlignment="1">
      <alignment horizontal="center" vertical="center"/>
    </xf>
    <xf numFmtId="166" fontId="3" fillId="0" borderId="0" xfId="1" applyNumberFormat="1" applyFont="1"/>
    <xf numFmtId="166" fontId="0" fillId="0" borderId="0" xfId="0" applyNumberFormat="1"/>
    <xf numFmtId="166" fontId="3" fillId="0" borderId="0" xfId="1" applyNumberFormat="1" applyFont="1" applyAlignment="1">
      <alignment vertical="center"/>
    </xf>
    <xf numFmtId="166" fontId="8" fillId="8" borderId="0" xfId="0" applyNumberFormat="1" applyFont="1" applyFill="1" applyBorder="1"/>
    <xf numFmtId="169" fontId="8" fillId="8" borderId="0" xfId="0" applyNumberFormat="1" applyFont="1" applyFill="1" applyBorder="1"/>
    <xf numFmtId="174" fontId="8" fillId="0" borderId="1" xfId="1" applyNumberFormat="1" applyFont="1" applyFill="1" applyBorder="1" applyAlignment="1" applyProtection="1">
      <alignment horizontal="center"/>
      <protection locked="0"/>
    </xf>
    <xf numFmtId="169" fontId="8" fillId="4" borderId="0" xfId="1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166" fontId="8" fillId="4" borderId="2" xfId="1" applyNumberFormat="1" applyFont="1" applyFill="1" applyBorder="1" applyAlignment="1">
      <alignment horizontal="center"/>
    </xf>
    <xf numFmtId="169" fontId="8" fillId="4" borderId="2" xfId="1" applyNumberFormat="1" applyFont="1" applyFill="1" applyBorder="1"/>
    <xf numFmtId="0" fontId="7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72" fontId="8" fillId="4" borderId="2" xfId="2" applyNumberFormat="1" applyFont="1" applyFill="1" applyBorder="1" applyAlignment="1">
      <alignment horizontal="center"/>
    </xf>
    <xf numFmtId="166" fontId="8" fillId="4" borderId="2" xfId="1" applyNumberFormat="1" applyFont="1" applyFill="1" applyBorder="1"/>
    <xf numFmtId="6" fontId="8" fillId="4" borderId="2" xfId="0" applyNumberFormat="1" applyFont="1" applyFill="1" applyBorder="1" applyAlignment="1">
      <alignment horizontal="center"/>
    </xf>
    <xf numFmtId="3" fontId="6" fillId="4" borderId="2" xfId="23" applyNumberFormat="1" applyFont="1" applyFill="1" applyBorder="1" applyAlignment="1">
      <alignment horizontal="right" vertical="center"/>
    </xf>
    <xf numFmtId="169" fontId="8" fillId="4" borderId="2" xfId="1" applyNumberFormat="1" applyFont="1" applyFill="1" applyBorder="1" applyAlignment="1">
      <alignment horizontal="center"/>
    </xf>
    <xf numFmtId="0" fontId="8" fillId="4" borderId="2" xfId="0" applyFont="1" applyFill="1" applyBorder="1"/>
    <xf numFmtId="9" fontId="8" fillId="4" borderId="2" xfId="0" applyNumberFormat="1" applyFont="1" applyFill="1" applyBorder="1"/>
    <xf numFmtId="164" fontId="8" fillId="4" borderId="2" xfId="1" applyNumberFormat="1" applyFont="1" applyFill="1" applyBorder="1" applyAlignment="1">
      <alignment horizontal="center"/>
    </xf>
    <xf numFmtId="165" fontId="8" fillId="4" borderId="2" xfId="1" applyNumberFormat="1" applyFont="1" applyFill="1" applyBorder="1"/>
    <xf numFmtId="171" fontId="8" fillId="4" borderId="2" xfId="1" applyNumberFormat="1" applyFont="1" applyFill="1" applyBorder="1" applyAlignment="1">
      <alignment horizontal="center"/>
    </xf>
    <xf numFmtId="9" fontId="8" fillId="4" borderId="2" xfId="2" applyFont="1" applyFill="1" applyBorder="1" applyAlignment="1">
      <alignment horizontal="center"/>
    </xf>
    <xf numFmtId="166" fontId="8" fillId="4" borderId="2" xfId="0" applyNumberFormat="1" applyFont="1" applyFill="1" applyBorder="1"/>
    <xf numFmtId="0" fontId="0" fillId="4" borderId="0" xfId="0" applyFill="1"/>
    <xf numFmtId="0" fontId="10" fillId="4" borderId="0" xfId="0" applyFont="1" applyFill="1"/>
    <xf numFmtId="0" fontId="0" fillId="4" borderId="0" xfId="0" applyFill="1" applyAlignment="1">
      <alignment horizontal="left" wrapText="1"/>
    </xf>
    <xf numFmtId="0" fontId="8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3" xfId="0" applyFont="1" applyFill="1" applyBorder="1"/>
    <xf numFmtId="0" fontId="8" fillId="4" borderId="4" xfId="0" applyFont="1" applyFill="1" applyBorder="1"/>
    <xf numFmtId="0" fontId="7" fillId="4" borderId="3" xfId="0" applyFont="1" applyFill="1" applyBorder="1"/>
    <xf numFmtId="0" fontId="8" fillId="0" borderId="3" xfId="0" applyFont="1" applyFill="1" applyBorder="1"/>
    <xf numFmtId="0" fontId="8" fillId="4" borderId="0" xfId="0" applyFont="1" applyFill="1" applyBorder="1" applyAlignment="1">
      <alignment horizontal="left" wrapText="1"/>
    </xf>
    <xf numFmtId="0" fontId="11" fillId="4" borderId="0" xfId="0" applyFont="1" applyFill="1" applyBorder="1" applyAlignment="1"/>
    <xf numFmtId="0" fontId="0" fillId="4" borderId="0" xfId="0" applyFill="1" applyAlignment="1">
      <alignment horizontal="left" vertical="center" wrapText="1"/>
    </xf>
  </cellXfs>
  <cellStyles count="28">
    <cellStyle name="1000-sep (2 dec) 2" xfId="3" xr:uid="{00000000-0005-0000-0000-000000000000}"/>
    <cellStyle name="Komma" xfId="1" builtinId="3"/>
    <cellStyle name="Komma 2" xfId="4" xr:uid="{00000000-0005-0000-0000-000002000000}"/>
    <cellStyle name="Komma 2 2" xfId="5" xr:uid="{00000000-0005-0000-0000-000003000000}"/>
    <cellStyle name="Komma 3" xfId="6" xr:uid="{00000000-0005-0000-0000-000004000000}"/>
    <cellStyle name="Komma 4" xfId="7" xr:uid="{00000000-0005-0000-0000-000005000000}"/>
    <cellStyle name="Normal" xfId="0" builtinId="0"/>
    <cellStyle name="Normal 2" xfId="8" xr:uid="{00000000-0005-0000-0000-000007000000}"/>
    <cellStyle name="Normal 2 2" xfId="9" xr:uid="{00000000-0005-0000-0000-000008000000}"/>
    <cellStyle name="Normal 2 3" xfId="10" xr:uid="{00000000-0005-0000-0000-000009000000}"/>
    <cellStyle name="Normal 2 4" xfId="11" xr:uid="{00000000-0005-0000-0000-00000A000000}"/>
    <cellStyle name="Normal 3" xfId="12" xr:uid="{00000000-0005-0000-0000-00000B000000}"/>
    <cellStyle name="Normal 3 2" xfId="13" xr:uid="{00000000-0005-0000-0000-00000C000000}"/>
    <cellStyle name="Normal 3 3" xfId="14" xr:uid="{00000000-0005-0000-0000-00000D000000}"/>
    <cellStyle name="Normal 3 4" xfId="15" xr:uid="{00000000-0005-0000-0000-00000E000000}"/>
    <cellStyle name="Normal 4" xfId="16" xr:uid="{00000000-0005-0000-0000-00000F000000}"/>
    <cellStyle name="Normal 4 2" xfId="17" xr:uid="{00000000-0005-0000-0000-000010000000}"/>
    <cellStyle name="Normal 5" xfId="18" xr:uid="{00000000-0005-0000-0000-000011000000}"/>
    <cellStyle name="Normal 5 2" xfId="19" xr:uid="{00000000-0005-0000-0000-000012000000}"/>
    <cellStyle name="Normal 6" xfId="20" xr:uid="{00000000-0005-0000-0000-000013000000}"/>
    <cellStyle name="Normal 7" xfId="21" xr:uid="{00000000-0005-0000-0000-000014000000}"/>
    <cellStyle name="Normal 8" xfId="22" xr:uid="{00000000-0005-0000-0000-000015000000}"/>
    <cellStyle name="Normal 9" xfId="26" xr:uid="{6CCDED14-017B-4840-972B-B71F8FE03900}"/>
    <cellStyle name="Normal_data til beregning" xfId="23" xr:uid="{00000000-0005-0000-0000-000016000000}"/>
    <cellStyle name="Procent" xfId="2" builtinId="5"/>
    <cellStyle name="Procent 2" xfId="24" xr:uid="{00000000-0005-0000-0000-000018000000}"/>
    <cellStyle name="Procent 3" xfId="25" xr:uid="{00000000-0005-0000-0000-000019000000}"/>
    <cellStyle name="Procent 4" xfId="27" xr:uid="{4EBDE88B-6B96-4AC6-8AB4-C56284F8B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Movia">
      <a:dk1>
        <a:sysClr val="windowText" lastClr="000000"/>
      </a:dk1>
      <a:lt1>
        <a:sysClr val="window" lastClr="FFFFFF"/>
      </a:lt1>
      <a:dk2>
        <a:srgbClr val="899BBC"/>
      </a:dk2>
      <a:lt2>
        <a:srgbClr val="FFE0A8"/>
      </a:lt2>
      <a:accent1>
        <a:srgbClr val="FFB612"/>
      </a:accent1>
      <a:accent2>
        <a:srgbClr val="BFC3C6"/>
      </a:accent2>
      <a:accent3>
        <a:srgbClr val="00214D"/>
      </a:accent3>
      <a:accent4>
        <a:srgbClr val="BCB295"/>
      </a:accent4>
      <a:accent5>
        <a:srgbClr val="54B948"/>
      </a:accent5>
      <a:accent6>
        <a:srgbClr val="00A5CC"/>
      </a:accent6>
      <a:hlink>
        <a:srgbClr val="00214D"/>
      </a:hlink>
      <a:folHlink>
        <a:srgbClr val="899BBC"/>
      </a:folHlink>
    </a:clrScheme>
    <a:fontScheme name="Movia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57B68-9D71-400A-B4A5-810DB377E159}">
  <dimension ref="B1:D22"/>
  <sheetViews>
    <sheetView showRowColHeaders="0" workbookViewId="0">
      <selection activeCell="F7" sqref="F7"/>
    </sheetView>
  </sheetViews>
  <sheetFormatPr defaultRowHeight="31.5" customHeight="1" x14ac:dyDescent="0.2"/>
  <cols>
    <col min="1" max="1" width="3.375" style="88" customWidth="1"/>
    <col min="2" max="2" width="5.875" style="88" customWidth="1"/>
    <col min="3" max="3" width="1.375" style="88" customWidth="1"/>
    <col min="4" max="4" width="47.75" style="88" customWidth="1"/>
    <col min="5" max="16384" width="9" style="88"/>
  </cols>
  <sheetData>
    <row r="1" spans="2:4" ht="15.75" customHeight="1" x14ac:dyDescent="0.2"/>
    <row r="2" spans="2:4" ht="31.5" customHeight="1" x14ac:dyDescent="0.2">
      <c r="B2" s="90" t="s">
        <v>153</v>
      </c>
      <c r="C2" s="90"/>
      <c r="D2" s="90"/>
    </row>
    <row r="3" spans="2:4" ht="31.5" customHeight="1" x14ac:dyDescent="0.2">
      <c r="B3" s="90" t="s">
        <v>154</v>
      </c>
      <c r="C3" s="90"/>
      <c r="D3" s="90"/>
    </row>
    <row r="4" spans="2:4" ht="31.5" customHeight="1" x14ac:dyDescent="0.2">
      <c r="B4" s="90" t="s">
        <v>155</v>
      </c>
      <c r="C4" s="90"/>
      <c r="D4" s="90"/>
    </row>
    <row r="5" spans="2:4" ht="31.5" customHeight="1" x14ac:dyDescent="0.2">
      <c r="B5" s="90" t="s">
        <v>158</v>
      </c>
      <c r="C5" s="90"/>
      <c r="D5" s="90"/>
    </row>
    <row r="6" spans="2:4" ht="35.25" customHeight="1" x14ac:dyDescent="0.2">
      <c r="B6" s="90" t="s">
        <v>157</v>
      </c>
      <c r="C6" s="90"/>
      <c r="D6" s="90"/>
    </row>
    <row r="7" spans="2:4" ht="70.5" customHeight="1" x14ac:dyDescent="0.2">
      <c r="B7" s="102" t="s">
        <v>178</v>
      </c>
      <c r="C7" s="102"/>
      <c r="D7" s="102"/>
    </row>
    <row r="8" spans="2:4" ht="60" customHeight="1" x14ac:dyDescent="0.2">
      <c r="B8" s="102" t="s">
        <v>179</v>
      </c>
      <c r="C8" s="102"/>
      <c r="D8" s="102"/>
    </row>
    <row r="9" spans="2:4" ht="31.5" customHeight="1" x14ac:dyDescent="0.2">
      <c r="B9" s="90" t="s">
        <v>156</v>
      </c>
      <c r="C9" s="90"/>
      <c r="D9" s="90"/>
    </row>
    <row r="10" spans="2:4" ht="31.5" customHeight="1" x14ac:dyDescent="0.25">
      <c r="B10" s="89" t="s">
        <v>164</v>
      </c>
    </row>
    <row r="11" spans="2:4" ht="15" customHeight="1" x14ac:dyDescent="0.2">
      <c r="B11" s="6"/>
      <c r="D11" s="88" t="s">
        <v>159</v>
      </c>
    </row>
    <row r="12" spans="2:4" ht="3.95" customHeight="1" x14ac:dyDescent="0.2"/>
    <row r="13" spans="2:4" ht="15" customHeight="1" x14ac:dyDescent="0.2">
      <c r="B13" s="34"/>
      <c r="D13" s="88" t="s">
        <v>160</v>
      </c>
    </row>
    <row r="14" spans="2:4" ht="3.95" customHeight="1" x14ac:dyDescent="0.2"/>
    <row r="15" spans="2:4" ht="15" customHeight="1" x14ac:dyDescent="0.2">
      <c r="B15" s="7"/>
      <c r="D15" s="88" t="s">
        <v>161</v>
      </c>
    </row>
    <row r="16" spans="2:4" ht="3.95" customHeight="1" x14ac:dyDescent="0.2"/>
    <row r="17" spans="2:4" ht="15" customHeight="1" x14ac:dyDescent="0.2">
      <c r="B17" s="16"/>
      <c r="D17" s="88" t="s">
        <v>162</v>
      </c>
    </row>
    <row r="18" spans="2:4" ht="3.95" customHeight="1" x14ac:dyDescent="0.2"/>
    <row r="19" spans="2:4" ht="15" customHeight="1" x14ac:dyDescent="0.2">
      <c r="B19" s="5"/>
      <c r="D19" s="88" t="s">
        <v>163</v>
      </c>
    </row>
    <row r="20" spans="2:4" ht="3.95" customHeight="1" x14ac:dyDescent="0.2"/>
    <row r="21" spans="2:4" ht="15" customHeight="1" x14ac:dyDescent="0.2">
      <c r="B21" s="68"/>
      <c r="D21" s="88" t="s">
        <v>173</v>
      </c>
    </row>
    <row r="22" spans="2:4" ht="3.95" customHeight="1" x14ac:dyDescent="0.2"/>
  </sheetData>
  <sheetProtection algorithmName="SHA-512" hashValue="J5Na8aecWYMIy/GkvPXhXSzAfG4xWJKeF7A1RBsWoKeL9+Z1vZnVoO2L1AGTMbCkdQgkAbuy7vD5hublbUMj+w==" saltValue="T7UKX1LhgTnv0lxaDDMqaw==" spinCount="100000" sheet="1" objects="1" scenarios="1"/>
  <mergeCells count="8">
    <mergeCell ref="B9:D9"/>
    <mergeCell ref="B2:D2"/>
    <mergeCell ref="B3:D3"/>
    <mergeCell ref="B4:D4"/>
    <mergeCell ref="B5:D5"/>
    <mergeCell ref="B6:D6"/>
    <mergeCell ref="B7:D7"/>
    <mergeCell ref="B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BM511"/>
  <sheetViews>
    <sheetView showRowColHeaders="0" tabSelected="1" zoomScale="120" zoomScaleNormal="120" workbookViewId="0">
      <pane xSplit="3" ySplit="19" topLeftCell="D20" activePane="bottomRight" state="frozen"/>
      <selection pane="topRight" activeCell="C1" sqref="C1"/>
      <selection pane="bottomLeft" activeCell="A6" sqref="A6"/>
      <selection pane="bottomRight" activeCell="N15" sqref="N15"/>
    </sheetView>
  </sheetViews>
  <sheetFormatPr defaultColWidth="9" defaultRowHeight="11.25" x14ac:dyDescent="0.2"/>
  <cols>
    <col min="1" max="1" width="1.625" style="19" customWidth="1"/>
    <col min="2" max="2" width="24" style="19" customWidth="1"/>
    <col min="3" max="3" width="9" style="19" customWidth="1"/>
    <col min="4" max="4" width="14" style="19" customWidth="1"/>
    <col min="5" max="5" width="1.625" style="19" customWidth="1"/>
    <col min="6" max="6" width="14" style="19" customWidth="1"/>
    <col min="7" max="7" width="1.625" style="19" customWidth="1"/>
    <col min="8" max="8" width="14" style="4" customWidth="1"/>
    <col min="9" max="9" width="1.625" style="19" customWidth="1"/>
    <col min="10" max="10" width="14" style="19" customWidth="1"/>
    <col min="11" max="11" width="1.625" style="19" customWidth="1"/>
    <col min="12" max="12" width="14" style="19" customWidth="1"/>
    <col min="13" max="13" width="1.625" style="19" customWidth="1"/>
    <col min="14" max="14" width="14" style="4" customWidth="1"/>
    <col min="15" max="15" width="1.625" style="22" customWidth="1"/>
    <col min="16" max="16" width="1.625" style="81" customWidth="1"/>
    <col min="17" max="17" width="14" style="19" customWidth="1"/>
    <col min="18" max="18" width="1.625" style="19" customWidth="1"/>
    <col min="19" max="19" width="14" style="19" customWidth="1"/>
    <col min="20" max="20" width="1.625" style="19" customWidth="1"/>
    <col min="21" max="21" width="14" style="4" customWidth="1"/>
    <col min="22" max="22" width="1.625" style="19" customWidth="1"/>
    <col min="23" max="23" width="14" style="19" customWidth="1"/>
    <col min="24" max="24" width="1.625" style="19" customWidth="1"/>
    <col min="25" max="25" width="14" style="19" customWidth="1"/>
    <col min="26" max="26" width="1.625" style="19" customWidth="1"/>
    <col min="27" max="27" width="14" style="4" customWidth="1"/>
    <col min="28" max="28" width="9.75" style="19" bestFit="1" customWidth="1"/>
    <col min="29" max="65" width="9" style="19"/>
    <col min="66" max="16384" width="9" style="1"/>
  </cols>
  <sheetData>
    <row r="1" spans="1:65" s="19" customFormat="1" ht="3.95" customHeight="1" x14ac:dyDescent="0.2">
      <c r="B1" s="18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65" ht="13.5" customHeight="1" x14ac:dyDescent="0.2">
      <c r="B2" s="20"/>
      <c r="C2" s="21"/>
      <c r="D2" s="93" t="s">
        <v>114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51"/>
      <c r="P2" s="71"/>
      <c r="Q2" s="93" t="s">
        <v>118</v>
      </c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65" ht="25.5" customHeight="1" x14ac:dyDescent="0.2">
      <c r="B3" s="20" t="s">
        <v>116</v>
      </c>
      <c r="C3" s="21"/>
      <c r="D3" s="51" t="s">
        <v>106</v>
      </c>
      <c r="E3" s="52"/>
      <c r="F3" s="51" t="s">
        <v>105</v>
      </c>
      <c r="G3" s="52"/>
      <c r="H3" s="51" t="s">
        <v>107</v>
      </c>
      <c r="I3" s="52"/>
      <c r="J3" s="51" t="s">
        <v>106</v>
      </c>
      <c r="K3" s="52"/>
      <c r="L3" s="51" t="s">
        <v>105</v>
      </c>
      <c r="M3" s="52"/>
      <c r="N3" s="51" t="s">
        <v>107</v>
      </c>
      <c r="O3" s="51"/>
      <c r="P3" s="71"/>
      <c r="Q3" s="51" t="s">
        <v>106</v>
      </c>
      <c r="R3" s="52"/>
      <c r="S3" s="51" t="s">
        <v>105</v>
      </c>
      <c r="T3" s="52"/>
      <c r="U3" s="51" t="s">
        <v>107</v>
      </c>
      <c r="V3" s="52"/>
      <c r="W3" s="51" t="s">
        <v>106</v>
      </c>
      <c r="X3" s="52"/>
      <c r="Y3" s="51" t="s">
        <v>105</v>
      </c>
      <c r="Z3" s="52"/>
      <c r="AA3" s="51" t="s">
        <v>107</v>
      </c>
    </row>
    <row r="4" spans="1:65" s="2" customFormat="1" ht="3.95" customHeight="1" thickBot="1" x14ac:dyDescent="0.25">
      <c r="A4" s="19"/>
      <c r="B4" s="19"/>
      <c r="C4" s="19"/>
      <c r="D4" s="10"/>
      <c r="E4" s="19"/>
      <c r="F4" s="10"/>
      <c r="G4" s="19"/>
      <c r="H4" s="10"/>
      <c r="I4" s="19"/>
      <c r="J4" s="10"/>
      <c r="K4" s="19"/>
      <c r="L4" s="10"/>
      <c r="M4" s="19"/>
      <c r="N4" s="10"/>
      <c r="O4" s="10"/>
      <c r="P4" s="72"/>
      <c r="Q4" s="10"/>
      <c r="R4" s="19"/>
      <c r="S4" s="10"/>
      <c r="T4" s="19"/>
      <c r="U4" s="10"/>
      <c r="V4" s="19"/>
      <c r="W4" s="10"/>
      <c r="X4" s="19"/>
      <c r="Y4" s="10"/>
      <c r="Z4" s="19"/>
      <c r="AA4" s="10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</row>
    <row r="5" spans="1:65" ht="15" customHeight="1" thickTop="1" x14ac:dyDescent="0.2">
      <c r="B5" s="19" t="s">
        <v>96</v>
      </c>
      <c r="C5" s="19" t="s">
        <v>97</v>
      </c>
      <c r="D5" s="31"/>
      <c r="F5" s="17">
        <f>(359+485)/2</f>
        <v>422</v>
      </c>
      <c r="H5" s="6">
        <f>IF(ISNUMBER(D5),D5,F5)</f>
        <v>422</v>
      </c>
      <c r="J5" s="23"/>
      <c r="L5" s="23"/>
      <c r="N5" s="10"/>
      <c r="O5" s="10"/>
      <c r="P5" s="72"/>
      <c r="Q5" s="31"/>
      <c r="S5" s="17">
        <f>(359+485)/2</f>
        <v>422</v>
      </c>
      <c r="U5" s="6">
        <f>IF(ISNUMBER(Q5),Q5,S5)</f>
        <v>422</v>
      </c>
      <c r="W5" s="23"/>
      <c r="Y5" s="23"/>
      <c r="AA5" s="10"/>
    </row>
    <row r="6" spans="1:65" s="2" customFormat="1" ht="3.95" customHeight="1" thickBot="1" x14ac:dyDescent="0.25">
      <c r="A6" s="19"/>
      <c r="B6" s="19"/>
      <c r="C6" s="19"/>
      <c r="D6" s="10"/>
      <c r="E6" s="19"/>
      <c r="F6" s="10"/>
      <c r="G6" s="19"/>
      <c r="H6" s="10"/>
      <c r="I6" s="19"/>
      <c r="J6" s="10"/>
      <c r="K6" s="19"/>
      <c r="L6" s="10"/>
      <c r="M6" s="19"/>
      <c r="N6" s="10"/>
      <c r="O6" s="10"/>
      <c r="P6" s="72"/>
      <c r="Q6" s="10"/>
      <c r="R6" s="19"/>
      <c r="S6" s="10"/>
      <c r="T6" s="19"/>
      <c r="U6" s="10"/>
      <c r="V6" s="19"/>
      <c r="W6" s="10"/>
      <c r="X6" s="19"/>
      <c r="Y6" s="10"/>
      <c r="Z6" s="19"/>
      <c r="AA6" s="10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</row>
    <row r="7" spans="1:65" ht="15" customHeight="1" thickTop="1" x14ac:dyDescent="0.2">
      <c r="B7" s="19" t="s">
        <v>98</v>
      </c>
      <c r="C7" s="19" t="s">
        <v>99</v>
      </c>
      <c r="D7" s="31"/>
      <c r="F7" s="17">
        <v>325</v>
      </c>
      <c r="H7" s="6">
        <f>IF(ISNUMBER(D7),D7,F7)</f>
        <v>325</v>
      </c>
      <c r="J7" s="23"/>
      <c r="L7" s="23"/>
      <c r="N7" s="10"/>
      <c r="O7" s="10"/>
      <c r="P7" s="72"/>
      <c r="Q7" s="31"/>
      <c r="S7" s="17">
        <v>325</v>
      </c>
      <c r="U7" s="6">
        <f>IF(ISNUMBER(Q7),Q7,S7)</f>
        <v>325</v>
      </c>
      <c r="W7" s="23"/>
      <c r="Y7" s="23"/>
      <c r="AA7" s="10"/>
    </row>
    <row r="8" spans="1:65" s="2" customFormat="1" ht="3.95" customHeight="1" x14ac:dyDescent="0.2">
      <c r="A8" s="19"/>
      <c r="B8" s="19"/>
      <c r="C8" s="19"/>
      <c r="D8" s="10"/>
      <c r="E8" s="19"/>
      <c r="F8" s="10"/>
      <c r="G8" s="19"/>
      <c r="H8" s="10"/>
      <c r="I8" s="19"/>
      <c r="J8" s="10"/>
      <c r="K8" s="19"/>
      <c r="L8" s="10"/>
      <c r="M8" s="19"/>
      <c r="N8" s="10"/>
      <c r="O8" s="10"/>
      <c r="P8" s="72"/>
      <c r="Q8" s="10"/>
      <c r="R8" s="19"/>
      <c r="S8" s="10"/>
      <c r="T8" s="19"/>
      <c r="U8" s="10"/>
      <c r="V8" s="19"/>
      <c r="W8" s="10"/>
      <c r="X8" s="19"/>
      <c r="Y8" s="10"/>
      <c r="Z8" s="19"/>
      <c r="AA8" s="10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</row>
    <row r="9" spans="1:65" ht="15" customHeight="1" x14ac:dyDescent="0.2">
      <c r="B9" s="19" t="s">
        <v>98</v>
      </c>
      <c r="C9" s="19" t="s">
        <v>22</v>
      </c>
      <c r="D9" s="22"/>
      <c r="E9" s="22"/>
      <c r="F9" s="22"/>
      <c r="G9" s="22"/>
      <c r="H9" s="33">
        <f>H5*H7</f>
        <v>137150</v>
      </c>
      <c r="I9" s="22"/>
      <c r="J9" s="22"/>
      <c r="K9" s="22"/>
      <c r="L9" s="22"/>
      <c r="M9" s="22"/>
      <c r="N9" s="10"/>
      <c r="O9" s="10"/>
      <c r="P9" s="72"/>
      <c r="Q9" s="22"/>
      <c r="R9" s="22"/>
      <c r="S9" s="22"/>
      <c r="T9" s="22"/>
      <c r="U9" s="33">
        <f>U5*U7</f>
        <v>137150</v>
      </c>
      <c r="V9" s="22"/>
      <c r="W9" s="22"/>
      <c r="X9" s="22"/>
      <c r="Y9" s="22"/>
      <c r="Z9" s="22"/>
      <c r="AA9" s="10"/>
    </row>
    <row r="10" spans="1:65" s="2" customFormat="1" ht="3.95" customHeight="1" thickBot="1" x14ac:dyDescent="0.25">
      <c r="A10" s="19"/>
      <c r="B10" s="19"/>
      <c r="C10" s="19"/>
      <c r="D10" s="10"/>
      <c r="E10" s="19"/>
      <c r="F10" s="10"/>
      <c r="G10" s="19"/>
      <c r="H10" s="10"/>
      <c r="I10" s="19"/>
      <c r="J10" s="10"/>
      <c r="K10" s="19"/>
      <c r="L10" s="10"/>
      <c r="M10" s="19"/>
      <c r="N10" s="10"/>
      <c r="O10" s="10"/>
      <c r="P10" s="72"/>
      <c r="Q10" s="10"/>
      <c r="R10" s="19"/>
      <c r="S10" s="10"/>
      <c r="T10" s="19"/>
      <c r="U10" s="10"/>
      <c r="V10" s="19"/>
      <c r="W10" s="10"/>
      <c r="X10" s="19"/>
      <c r="Y10" s="10"/>
      <c r="Z10" s="19"/>
      <c r="AA10" s="10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</row>
    <row r="11" spans="1:65" ht="15" customHeight="1" thickTop="1" x14ac:dyDescent="0.2">
      <c r="B11" s="19" t="s">
        <v>98</v>
      </c>
      <c r="C11" s="19" t="s">
        <v>62</v>
      </c>
      <c r="D11" s="31"/>
      <c r="F11" s="17">
        <f>H7*9</f>
        <v>2925</v>
      </c>
      <c r="H11" s="6">
        <f>IF(ISNUMBER(D11),D11,F11)</f>
        <v>2925</v>
      </c>
      <c r="J11" s="23"/>
      <c r="L11" s="23"/>
      <c r="N11" s="10"/>
      <c r="O11" s="10"/>
      <c r="P11" s="72"/>
      <c r="Q11" s="31"/>
      <c r="S11" s="17">
        <f>U7*9</f>
        <v>2925</v>
      </c>
      <c r="U11" s="6">
        <f>IF(ISNUMBER(Q11),Q11,S11)</f>
        <v>2925</v>
      </c>
      <c r="W11" s="23"/>
      <c r="Y11" s="23"/>
      <c r="AA11" s="10"/>
    </row>
    <row r="12" spans="1:65" s="2" customFormat="1" ht="3.95" customHeight="1" x14ac:dyDescent="0.2">
      <c r="A12" s="19"/>
      <c r="B12" s="19"/>
      <c r="C12" s="19"/>
      <c r="D12" s="10"/>
      <c r="E12" s="19"/>
      <c r="F12" s="10"/>
      <c r="G12" s="19"/>
      <c r="H12" s="10"/>
      <c r="I12" s="19"/>
      <c r="J12" s="10"/>
      <c r="K12" s="19"/>
      <c r="L12" s="10"/>
      <c r="M12" s="19"/>
      <c r="N12" s="10"/>
      <c r="O12" s="10"/>
      <c r="P12" s="72"/>
      <c r="Q12" s="10"/>
      <c r="R12" s="19"/>
      <c r="S12" s="10"/>
      <c r="T12" s="19"/>
      <c r="U12" s="10"/>
      <c r="V12" s="19"/>
      <c r="W12" s="10"/>
      <c r="X12" s="19"/>
      <c r="Y12" s="10"/>
      <c r="Z12" s="19"/>
      <c r="AA12" s="10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</row>
    <row r="13" spans="1:65" ht="15" customHeight="1" x14ac:dyDescent="0.2">
      <c r="B13" s="19" t="s">
        <v>115</v>
      </c>
      <c r="C13" s="19" t="s">
        <v>20</v>
      </c>
      <c r="D13" s="13"/>
      <c r="F13" s="13"/>
      <c r="H13" s="34">
        <f t="shared" ref="H13" si="0">H9/H11</f>
        <v>46.888888888888886</v>
      </c>
      <c r="J13" s="13"/>
      <c r="L13" s="13"/>
      <c r="N13" s="13"/>
      <c r="O13" s="13"/>
      <c r="P13" s="73"/>
      <c r="Q13" s="13"/>
      <c r="S13" s="13"/>
      <c r="U13" s="34">
        <f t="shared" ref="U13" si="1">U9/U11</f>
        <v>46.888888888888886</v>
      </c>
      <c r="W13" s="13"/>
      <c r="Y13" s="13"/>
      <c r="AA13" s="13"/>
    </row>
    <row r="14" spans="1:65" s="2" customFormat="1" ht="3.95" customHeight="1" thickBot="1" x14ac:dyDescent="0.25">
      <c r="A14" s="19"/>
      <c r="B14" s="19"/>
      <c r="C14" s="19"/>
      <c r="D14" s="13"/>
      <c r="E14" s="19"/>
      <c r="F14" s="13"/>
      <c r="G14" s="19"/>
      <c r="H14" s="13"/>
      <c r="I14" s="19"/>
      <c r="J14" s="13"/>
      <c r="K14" s="19"/>
      <c r="L14" s="13"/>
      <c r="M14" s="19"/>
      <c r="N14" s="13"/>
      <c r="O14" s="13"/>
      <c r="P14" s="73"/>
      <c r="Q14" s="13"/>
      <c r="R14" s="19"/>
      <c r="S14" s="13"/>
      <c r="T14" s="19"/>
      <c r="U14" s="13"/>
      <c r="V14" s="19"/>
      <c r="W14" s="13"/>
      <c r="X14" s="19"/>
      <c r="Y14" s="13"/>
      <c r="Z14" s="19"/>
      <c r="AA14" s="13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</row>
    <row r="15" spans="1:65" s="2" customFormat="1" ht="15" customHeight="1" thickTop="1" x14ac:dyDescent="0.2">
      <c r="A15" s="19"/>
      <c r="B15" s="19" t="s">
        <v>117</v>
      </c>
      <c r="C15" s="19" t="s">
        <v>3</v>
      </c>
      <c r="D15" s="31"/>
      <c r="E15" s="19"/>
      <c r="F15" s="13"/>
      <c r="G15" s="19"/>
      <c r="H15" s="6">
        <f>D15</f>
        <v>0</v>
      </c>
      <c r="I15" s="19"/>
      <c r="J15" s="13"/>
      <c r="K15" s="19"/>
      <c r="L15" s="13"/>
      <c r="M15" s="19"/>
      <c r="N15" s="13"/>
      <c r="O15" s="13"/>
      <c r="P15" s="73"/>
      <c r="Q15" s="31"/>
      <c r="R15" s="19"/>
      <c r="S15" s="13"/>
      <c r="T15" s="19"/>
      <c r="U15" s="6">
        <f>Q15</f>
        <v>0</v>
      </c>
      <c r="V15" s="19"/>
      <c r="W15" s="13"/>
      <c r="X15" s="19"/>
      <c r="Y15" s="13"/>
      <c r="Z15" s="19"/>
      <c r="AA15" s="13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</row>
    <row r="16" spans="1:65" s="2" customFormat="1" ht="3.95" customHeight="1" thickBot="1" x14ac:dyDescent="0.25">
      <c r="A16" s="19"/>
      <c r="B16" s="19"/>
      <c r="C16" s="19"/>
      <c r="D16" s="13"/>
      <c r="E16" s="19"/>
      <c r="F16" s="13"/>
      <c r="G16" s="19"/>
      <c r="H16" s="13"/>
      <c r="I16" s="19"/>
      <c r="J16" s="13"/>
      <c r="K16" s="19"/>
      <c r="L16" s="13"/>
      <c r="M16" s="19"/>
      <c r="N16" s="13"/>
      <c r="O16" s="13"/>
      <c r="P16" s="73"/>
      <c r="Q16" s="13"/>
      <c r="R16" s="19"/>
      <c r="S16" s="13"/>
      <c r="T16" s="19"/>
      <c r="U16" s="13"/>
      <c r="V16" s="19"/>
      <c r="W16" s="13"/>
      <c r="X16" s="19"/>
      <c r="Y16" s="13"/>
      <c r="Z16" s="19"/>
      <c r="AA16" s="13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</row>
    <row r="17" spans="1:65" s="2" customFormat="1" ht="15" customHeight="1" thickTop="1" x14ac:dyDescent="0.2">
      <c r="A17" s="19"/>
      <c r="B17" s="19" t="s">
        <v>119</v>
      </c>
      <c r="C17" s="19" t="s">
        <v>46</v>
      </c>
      <c r="D17" s="31"/>
      <c r="E17" s="19"/>
      <c r="F17" s="17">
        <v>2</v>
      </c>
      <c r="G17" s="19"/>
      <c r="H17" s="6">
        <f>IF(ISNUMBER(D17),D17,F17)</f>
        <v>2</v>
      </c>
      <c r="I17" s="19"/>
      <c r="J17" s="13"/>
      <c r="K17" s="19"/>
      <c r="L17" s="13"/>
      <c r="M17" s="19"/>
      <c r="N17" s="13"/>
      <c r="O17" s="13"/>
      <c r="P17" s="73"/>
      <c r="Q17" s="31"/>
      <c r="R17" s="19"/>
      <c r="S17" s="17">
        <v>2</v>
      </c>
      <c r="T17" s="19"/>
      <c r="U17" s="6">
        <f>IF(ISNUMBER(Q17),Q17,S17)</f>
        <v>2</v>
      </c>
      <c r="V17" s="19"/>
      <c r="W17" s="13"/>
      <c r="X17" s="19"/>
      <c r="Y17" s="13"/>
      <c r="Z17" s="19"/>
      <c r="AA17" s="13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</row>
    <row r="18" spans="1:65" s="2" customFormat="1" ht="3.95" customHeight="1" x14ac:dyDescent="0.2">
      <c r="A18" s="19"/>
      <c r="B18" s="19"/>
      <c r="C18" s="19"/>
      <c r="D18" s="13"/>
      <c r="E18" s="19"/>
      <c r="F18" s="13"/>
      <c r="G18" s="19"/>
      <c r="H18" s="13"/>
      <c r="I18" s="19"/>
      <c r="J18" s="13"/>
      <c r="K18" s="19"/>
      <c r="L18" s="13"/>
      <c r="M18" s="19"/>
      <c r="N18" s="13"/>
      <c r="O18" s="13"/>
      <c r="P18" s="73"/>
      <c r="Q18" s="13"/>
      <c r="R18" s="19"/>
      <c r="S18" s="13"/>
      <c r="T18" s="19"/>
      <c r="U18" s="13"/>
      <c r="V18" s="19"/>
      <c r="W18" s="13"/>
      <c r="X18" s="19"/>
      <c r="Y18" s="13"/>
      <c r="Z18" s="19"/>
      <c r="AA18" s="13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</row>
    <row r="19" spans="1:65" ht="15" customHeight="1" x14ac:dyDescent="0.2">
      <c r="B19" s="18" t="s">
        <v>5</v>
      </c>
      <c r="D19" s="92" t="s">
        <v>13</v>
      </c>
      <c r="E19" s="92"/>
      <c r="F19" s="92"/>
      <c r="G19" s="92"/>
      <c r="H19" s="92"/>
      <c r="I19" s="53"/>
      <c r="J19" s="92" t="s">
        <v>14</v>
      </c>
      <c r="K19" s="92"/>
      <c r="L19" s="92"/>
      <c r="M19" s="92"/>
      <c r="N19" s="92"/>
      <c r="O19" s="53"/>
      <c r="P19" s="74"/>
      <c r="Q19" s="92" t="s">
        <v>13</v>
      </c>
      <c r="R19" s="92"/>
      <c r="S19" s="92"/>
      <c r="T19" s="92"/>
      <c r="U19" s="92"/>
      <c r="V19" s="53"/>
      <c r="W19" s="92" t="s">
        <v>14</v>
      </c>
      <c r="X19" s="92"/>
      <c r="Y19" s="92"/>
      <c r="Z19" s="92"/>
      <c r="AA19" s="92"/>
    </row>
    <row r="20" spans="1:65" s="2" customFormat="1" ht="3.95" customHeight="1" x14ac:dyDescent="0.2">
      <c r="A20" s="19"/>
      <c r="B20" s="18"/>
      <c r="C20" s="19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75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</row>
    <row r="21" spans="1:65" ht="15" customHeight="1" thickBot="1" x14ac:dyDescent="0.25">
      <c r="B21" s="18" t="s">
        <v>26</v>
      </c>
      <c r="D21" s="24"/>
      <c r="F21" s="24"/>
      <c r="H21" s="24"/>
      <c r="J21" s="24"/>
      <c r="L21" s="24"/>
      <c r="N21" s="24"/>
      <c r="O21" s="24"/>
      <c r="P21" s="75"/>
      <c r="Q21" s="24"/>
      <c r="S21" s="24"/>
      <c r="U21" s="24"/>
      <c r="W21" s="24"/>
      <c r="Y21" s="24"/>
      <c r="AA21" s="24"/>
    </row>
    <row r="22" spans="1:65" ht="15" customHeight="1" thickTop="1" x14ac:dyDescent="0.2">
      <c r="B22" s="19" t="s">
        <v>95</v>
      </c>
      <c r="C22" s="19" t="s">
        <v>2</v>
      </c>
      <c r="D22" s="31"/>
      <c r="F22" s="17">
        <v>370</v>
      </c>
      <c r="H22" s="6">
        <f>IF(ISNUMBER(D22),D22,F22)</f>
        <v>370</v>
      </c>
      <c r="J22" s="24"/>
      <c r="L22" s="24"/>
      <c r="N22" s="24"/>
      <c r="O22" s="24"/>
      <c r="P22" s="75"/>
      <c r="Q22" s="31"/>
      <c r="S22" s="17">
        <v>250</v>
      </c>
      <c r="U22" s="6">
        <f>IF(ISNUMBER(Q22),Q22,S22)</f>
        <v>250</v>
      </c>
      <c r="W22" s="24"/>
      <c r="Y22" s="24"/>
      <c r="AA22" s="24"/>
    </row>
    <row r="23" spans="1:65" s="2" customFormat="1" ht="3.95" customHeight="1" thickBot="1" x14ac:dyDescent="0.25">
      <c r="A23" s="19"/>
      <c r="B23" s="19"/>
      <c r="C23" s="19"/>
      <c r="D23" s="24"/>
      <c r="E23" s="19"/>
      <c r="F23" s="24"/>
      <c r="G23" s="19"/>
      <c r="H23" s="10"/>
      <c r="I23" s="19"/>
      <c r="J23" s="24"/>
      <c r="K23" s="19"/>
      <c r="L23" s="24"/>
      <c r="M23" s="19"/>
      <c r="N23" s="10"/>
      <c r="O23" s="10"/>
      <c r="P23" s="72"/>
      <c r="Q23" s="24"/>
      <c r="R23" s="19"/>
      <c r="S23" s="24"/>
      <c r="T23" s="19"/>
      <c r="U23" s="10"/>
      <c r="V23" s="19"/>
      <c r="W23" s="24"/>
      <c r="X23" s="19"/>
      <c r="Y23" s="24"/>
      <c r="Z23" s="19"/>
      <c r="AA23" s="10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</row>
    <row r="24" spans="1:65" ht="15" customHeight="1" thickTop="1" x14ac:dyDescent="0.2">
      <c r="B24" s="19" t="s">
        <v>47</v>
      </c>
      <c r="C24" s="19" t="s">
        <v>166</v>
      </c>
      <c r="D24" s="31"/>
      <c r="F24" s="17">
        <v>384995</v>
      </c>
      <c r="H24" s="6">
        <f>IF(ISNUMBER(D24),D24,F24)</f>
        <v>384995</v>
      </c>
      <c r="J24" s="31"/>
      <c r="L24" s="17">
        <v>198750</v>
      </c>
      <c r="N24" s="6">
        <f>IF(ISNUMBER(J24),J24,L24)</f>
        <v>198750</v>
      </c>
      <c r="O24" s="10"/>
      <c r="P24" s="72"/>
      <c r="Q24" s="31"/>
      <c r="S24" s="17">
        <v>900000</v>
      </c>
      <c r="U24" s="6">
        <f>IF(ISNUMBER(Q24),Q24,S24)</f>
        <v>900000</v>
      </c>
      <c r="W24" s="31"/>
      <c r="Y24" s="17">
        <v>525000</v>
      </c>
      <c r="AA24" s="6">
        <f>IF(ISNUMBER(W24),W24,Y24)</f>
        <v>525000</v>
      </c>
    </row>
    <row r="25" spans="1:65" s="2" customFormat="1" ht="3.95" customHeight="1" thickBot="1" x14ac:dyDescent="0.25">
      <c r="A25" s="19"/>
      <c r="B25" s="19"/>
      <c r="C25" s="19"/>
      <c r="D25" s="10"/>
      <c r="E25" s="19"/>
      <c r="F25" s="10"/>
      <c r="G25" s="19"/>
      <c r="H25" s="10"/>
      <c r="I25" s="19"/>
      <c r="J25" s="10"/>
      <c r="K25" s="19"/>
      <c r="L25" s="10"/>
      <c r="M25" s="19"/>
      <c r="N25" s="10"/>
      <c r="O25" s="10"/>
      <c r="P25" s="72"/>
      <c r="Q25" s="10"/>
      <c r="R25" s="19"/>
      <c r="S25" s="10"/>
      <c r="T25" s="19"/>
      <c r="U25" s="10"/>
      <c r="V25" s="19"/>
      <c r="W25" s="10"/>
      <c r="X25" s="19"/>
      <c r="Y25" s="10"/>
      <c r="Z25" s="19"/>
      <c r="AA25" s="10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spans="1:65" ht="15" customHeight="1" thickTop="1" x14ac:dyDescent="0.2">
      <c r="B26" s="19" t="s">
        <v>45</v>
      </c>
      <c r="C26" s="19" t="s">
        <v>166</v>
      </c>
      <c r="D26" s="31"/>
      <c r="F26" s="17">
        <v>4000</v>
      </c>
      <c r="H26" s="6">
        <f>IF(ISNUMBER(D26),D26,F26)</f>
        <v>4000</v>
      </c>
      <c r="J26" s="31"/>
      <c r="L26" s="17">
        <v>4000</v>
      </c>
      <c r="N26" s="6">
        <f>IF(ISNUMBER(J26),J26,L26)</f>
        <v>4000</v>
      </c>
      <c r="O26" s="10"/>
      <c r="P26" s="72"/>
      <c r="Q26" s="31"/>
      <c r="S26" s="17">
        <v>4000</v>
      </c>
      <c r="U26" s="6">
        <f>IF(ISNUMBER(Q26),Q26,S26)</f>
        <v>4000</v>
      </c>
      <c r="W26" s="31"/>
      <c r="Y26" s="17">
        <v>4000</v>
      </c>
      <c r="AA26" s="6">
        <f>IF(ISNUMBER(W26),W26,Y26)</f>
        <v>4000</v>
      </c>
    </row>
    <row r="27" spans="1:65" s="2" customFormat="1" ht="3.95" customHeight="1" thickBot="1" x14ac:dyDescent="0.25">
      <c r="A27" s="19"/>
      <c r="B27" s="19"/>
      <c r="C27" s="19"/>
      <c r="D27" s="10"/>
      <c r="E27" s="19"/>
      <c r="F27" s="10"/>
      <c r="G27" s="19"/>
      <c r="H27" s="10"/>
      <c r="I27" s="19"/>
      <c r="J27" s="10"/>
      <c r="K27" s="19"/>
      <c r="L27" s="10"/>
      <c r="M27" s="19"/>
      <c r="N27" s="10"/>
      <c r="O27" s="10"/>
      <c r="P27" s="72"/>
      <c r="Q27" s="10"/>
      <c r="R27" s="19"/>
      <c r="S27" s="10"/>
      <c r="T27" s="19"/>
      <c r="U27" s="10"/>
      <c r="V27" s="19"/>
      <c r="W27" s="10"/>
      <c r="X27" s="19"/>
      <c r="Y27" s="10"/>
      <c r="Z27" s="19"/>
      <c r="AA27" s="10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  <row r="28" spans="1:65" ht="15" customHeight="1" thickTop="1" x14ac:dyDescent="0.2">
      <c r="B28" s="19" t="s">
        <v>41</v>
      </c>
      <c r="C28" s="19" t="s">
        <v>46</v>
      </c>
      <c r="D28" s="31"/>
      <c r="F28" s="17">
        <v>5</v>
      </c>
      <c r="H28" s="6">
        <f>IF(ISNUMBER(D28),D28,F28)</f>
        <v>5</v>
      </c>
      <c r="J28" s="31"/>
      <c r="L28" s="17">
        <v>5</v>
      </c>
      <c r="N28" s="6">
        <f>IF(ISNUMBER(J28),J28,L28)</f>
        <v>5</v>
      </c>
      <c r="O28" s="10"/>
      <c r="P28" s="72"/>
      <c r="Q28" s="31"/>
      <c r="S28" s="17">
        <v>5</v>
      </c>
      <c r="U28" s="6">
        <f>IF(ISNUMBER(Q28),Q28,S28)</f>
        <v>5</v>
      </c>
      <c r="W28" s="31"/>
      <c r="Y28" s="17">
        <v>5</v>
      </c>
      <c r="AA28" s="6">
        <f>IF(ISNUMBER(W28),W28,Y28)</f>
        <v>5</v>
      </c>
    </row>
    <row r="29" spans="1:65" s="2" customFormat="1" ht="3.95" customHeight="1" thickBot="1" x14ac:dyDescent="0.25">
      <c r="A29" s="19"/>
      <c r="B29" s="19"/>
      <c r="C29" s="19"/>
      <c r="D29" s="24"/>
      <c r="E29" s="19"/>
      <c r="F29" s="24"/>
      <c r="G29" s="19"/>
      <c r="H29" s="10"/>
      <c r="I29" s="19"/>
      <c r="J29" s="24"/>
      <c r="K29" s="19"/>
      <c r="L29" s="24"/>
      <c r="M29" s="19"/>
      <c r="N29" s="10"/>
      <c r="O29" s="10"/>
      <c r="P29" s="72"/>
      <c r="Q29" s="24"/>
      <c r="R29" s="19"/>
      <c r="S29" s="24"/>
      <c r="T29" s="19"/>
      <c r="U29" s="10"/>
      <c r="V29" s="19"/>
      <c r="W29" s="24"/>
      <c r="X29" s="19"/>
      <c r="Y29" s="24"/>
      <c r="Z29" s="19"/>
      <c r="AA29" s="10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spans="1:65" ht="15" customHeight="1" thickTop="1" x14ac:dyDescent="0.2">
      <c r="B30" s="19" t="s">
        <v>42</v>
      </c>
      <c r="C30" s="19" t="s">
        <v>49</v>
      </c>
      <c r="D30" s="47"/>
      <c r="F30" s="41">
        <v>0.04</v>
      </c>
      <c r="H30" s="42">
        <f>IF(ISNUMBER(D30),D30,F30)</f>
        <v>0.04</v>
      </c>
      <c r="J30" s="47"/>
      <c r="L30" s="41">
        <v>0.04</v>
      </c>
      <c r="N30" s="42">
        <f>IF(ISNUMBER(J30),J30,L30)</f>
        <v>0.04</v>
      </c>
      <c r="O30" s="49"/>
      <c r="P30" s="76"/>
      <c r="Q30" s="47"/>
      <c r="S30" s="41">
        <v>0.04</v>
      </c>
      <c r="U30" s="42">
        <f>IF(ISNUMBER(Q30),Q30,S30)</f>
        <v>0.04</v>
      </c>
      <c r="W30" s="47"/>
      <c r="Y30" s="41">
        <v>0.04</v>
      </c>
      <c r="AA30" s="42">
        <f>IF(ISNUMBER(W30),W30,Y30)</f>
        <v>0.04</v>
      </c>
    </row>
    <row r="31" spans="1:65" s="2" customFormat="1" ht="3.95" customHeight="1" x14ac:dyDescent="0.2">
      <c r="A31" s="19"/>
      <c r="B31" s="19"/>
      <c r="C31" s="19"/>
      <c r="D31" s="25"/>
      <c r="E31" s="19"/>
      <c r="F31" s="25"/>
      <c r="G31" s="19"/>
      <c r="H31" s="10"/>
      <c r="I31" s="19"/>
      <c r="J31" s="25"/>
      <c r="K31" s="19"/>
      <c r="L31" s="25"/>
      <c r="M31" s="19"/>
      <c r="N31" s="10"/>
      <c r="O31" s="10"/>
      <c r="P31" s="72"/>
      <c r="Q31" s="25"/>
      <c r="R31" s="19"/>
      <c r="S31" s="25"/>
      <c r="T31" s="19"/>
      <c r="U31" s="10"/>
      <c r="V31" s="19"/>
      <c r="W31" s="25"/>
      <c r="X31" s="19"/>
      <c r="Y31" s="25"/>
      <c r="Z31" s="19"/>
      <c r="AA31" s="10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</row>
    <row r="32" spans="1:65" ht="15" customHeight="1" x14ac:dyDescent="0.2">
      <c r="B32" s="19" t="s">
        <v>35</v>
      </c>
      <c r="C32" s="19" t="s">
        <v>167</v>
      </c>
      <c r="D32" s="22"/>
      <c r="E32" s="22"/>
      <c r="F32" s="22"/>
      <c r="G32" s="22"/>
      <c r="H32" s="38">
        <f>-PMT(H30,H28,H24+H26)</f>
        <v>87378.824013222737</v>
      </c>
      <c r="I32" s="22"/>
      <c r="J32" s="22"/>
      <c r="K32" s="22"/>
      <c r="L32" s="22"/>
      <c r="M32" s="22"/>
      <c r="N32" s="38">
        <f>-PMT(N30,N28,N24+N26)</f>
        <v>45543.147260712627</v>
      </c>
      <c r="O32" s="12"/>
      <c r="P32" s="77"/>
      <c r="Q32" s="22"/>
      <c r="R32" s="22"/>
      <c r="S32" s="22"/>
      <c r="T32" s="22"/>
      <c r="U32" s="38">
        <f>-PMT(U30,U28,U24+U26)</f>
        <v>203062.91059770269</v>
      </c>
      <c r="V32" s="22"/>
      <c r="W32" s="22"/>
      <c r="X32" s="22"/>
      <c r="Y32" s="22"/>
      <c r="Z32" s="22"/>
      <c r="AA32" s="38">
        <f>-PMT(AA30,AA28,AA24+AA26)</f>
        <v>118827.74303781494</v>
      </c>
    </row>
    <row r="33" spans="1:65" s="2" customFormat="1" ht="3.95" customHeight="1" thickBot="1" x14ac:dyDescent="0.25">
      <c r="A33" s="19"/>
      <c r="B33" s="19"/>
      <c r="C33" s="19"/>
      <c r="D33" s="22"/>
      <c r="E33" s="22"/>
      <c r="F33" s="22"/>
      <c r="G33" s="22"/>
      <c r="H33" s="35"/>
      <c r="I33" s="22"/>
      <c r="J33" s="22"/>
      <c r="K33" s="22"/>
      <c r="L33" s="22"/>
      <c r="M33" s="22"/>
      <c r="N33" s="35"/>
      <c r="O33" s="35"/>
      <c r="P33" s="78"/>
      <c r="Q33" s="22"/>
      <c r="R33" s="22"/>
      <c r="S33" s="22"/>
      <c r="T33" s="22"/>
      <c r="U33" s="35"/>
      <c r="V33" s="22"/>
      <c r="W33" s="22"/>
      <c r="X33" s="22"/>
      <c r="Y33" s="22"/>
      <c r="Z33" s="22"/>
      <c r="AA33" s="35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</row>
    <row r="34" spans="1:65" ht="15" customHeight="1" thickTop="1" x14ac:dyDescent="0.2">
      <c r="B34" s="19" t="s">
        <v>24</v>
      </c>
      <c r="C34" s="19" t="s">
        <v>166</v>
      </c>
      <c r="D34" s="31"/>
      <c r="F34" s="17">
        <v>5000</v>
      </c>
      <c r="H34" s="6">
        <f>IF(ISNUMBER(D34),D34,F34)</f>
        <v>5000</v>
      </c>
      <c r="J34" s="31"/>
      <c r="L34" s="17">
        <v>5000</v>
      </c>
      <c r="N34" s="6">
        <f>IF(ISNUMBER(J34),J34,L34)</f>
        <v>5000</v>
      </c>
      <c r="O34" s="10"/>
      <c r="P34" s="72"/>
      <c r="Q34" s="31"/>
      <c r="S34" s="17">
        <v>45000</v>
      </c>
      <c r="U34" s="6">
        <f>IF(ISNUMBER(Q34),Q34,S34)</f>
        <v>45000</v>
      </c>
      <c r="W34" s="31"/>
      <c r="Y34" s="17">
        <v>45000</v>
      </c>
      <c r="AA34" s="6">
        <f>IF(ISNUMBER(W34),W34,Y34)</f>
        <v>45000</v>
      </c>
    </row>
    <row r="35" spans="1:65" s="2" customFormat="1" ht="3.95" customHeight="1" x14ac:dyDescent="0.2">
      <c r="A35" s="19"/>
      <c r="B35" s="19"/>
      <c r="C35" s="19"/>
      <c r="D35" s="10"/>
      <c r="E35" s="19"/>
      <c r="F35" s="10"/>
      <c r="G35" s="19"/>
      <c r="H35" s="10"/>
      <c r="I35" s="19"/>
      <c r="J35" s="10"/>
      <c r="K35" s="19"/>
      <c r="L35" s="10"/>
      <c r="M35" s="19"/>
      <c r="N35" s="10"/>
      <c r="O35" s="10"/>
      <c r="P35" s="72"/>
      <c r="Q35" s="10"/>
      <c r="R35" s="19"/>
      <c r="S35" s="10"/>
      <c r="T35" s="19"/>
      <c r="U35" s="10"/>
      <c r="V35" s="19"/>
      <c r="W35" s="10"/>
      <c r="X35" s="19"/>
      <c r="Y35" s="10"/>
      <c r="Z35" s="19"/>
      <c r="AA35" s="10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</row>
    <row r="36" spans="1:65" ht="15" customHeight="1" x14ac:dyDescent="0.2">
      <c r="B36" s="19" t="s">
        <v>50</v>
      </c>
      <c r="C36" s="19" t="s">
        <v>1</v>
      </c>
      <c r="D36" s="22"/>
      <c r="E36" s="22"/>
      <c r="F36" s="22"/>
      <c r="G36" s="22"/>
      <c r="H36" s="7">
        <f>H15*(H32-H34/H28)</f>
        <v>0</v>
      </c>
      <c r="I36" s="22"/>
      <c r="J36" s="22"/>
      <c r="K36" s="22"/>
      <c r="L36" s="22"/>
      <c r="M36" s="22"/>
      <c r="N36" s="7">
        <f>H15*(N32-N34/N28)</f>
        <v>0</v>
      </c>
      <c r="O36" s="10"/>
      <c r="P36" s="72"/>
      <c r="Q36" s="22"/>
      <c r="R36" s="22"/>
      <c r="S36" s="22"/>
      <c r="T36" s="22"/>
      <c r="U36" s="7">
        <f>U15*(U32-U34/U28)</f>
        <v>0</v>
      </c>
      <c r="V36" s="22"/>
      <c r="W36" s="22"/>
      <c r="X36" s="22"/>
      <c r="Y36" s="22"/>
      <c r="Z36" s="22"/>
      <c r="AA36" s="7">
        <f>U15*(AA32-AA34/AA28)</f>
        <v>0</v>
      </c>
    </row>
    <row r="37" spans="1:65" s="2" customFormat="1" ht="3.95" customHeight="1" x14ac:dyDescent="0.2">
      <c r="A37" s="19"/>
      <c r="B37" s="19"/>
      <c r="C37" s="19"/>
      <c r="D37" s="10"/>
      <c r="E37" s="19"/>
      <c r="F37" s="10"/>
      <c r="G37" s="19"/>
      <c r="H37" s="10"/>
      <c r="I37" s="19"/>
      <c r="J37" s="10"/>
      <c r="K37" s="19"/>
      <c r="L37" s="10"/>
      <c r="M37" s="19"/>
      <c r="N37" s="10"/>
      <c r="O37" s="10"/>
      <c r="P37" s="72"/>
      <c r="Q37" s="10"/>
      <c r="R37" s="19"/>
      <c r="S37" s="10"/>
      <c r="T37" s="19"/>
      <c r="U37" s="10"/>
      <c r="V37" s="19"/>
      <c r="W37" s="10"/>
      <c r="X37" s="19"/>
      <c r="Y37" s="10"/>
      <c r="Z37" s="19"/>
      <c r="AA37" s="10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</row>
    <row r="38" spans="1:65" ht="15" customHeight="1" thickBot="1" x14ac:dyDescent="0.25">
      <c r="B38" s="18" t="s">
        <v>58</v>
      </c>
      <c r="D38" s="10"/>
      <c r="F38" s="10"/>
      <c r="H38" s="10"/>
      <c r="J38" s="10"/>
      <c r="L38" s="10"/>
      <c r="N38" s="10"/>
      <c r="O38" s="10"/>
      <c r="P38" s="72"/>
      <c r="Q38" s="10"/>
      <c r="S38" s="10"/>
      <c r="U38" s="10"/>
      <c r="W38" s="10"/>
      <c r="Y38" s="10"/>
      <c r="AA38" s="10"/>
    </row>
    <row r="39" spans="1:65" ht="15" customHeight="1" thickTop="1" x14ac:dyDescent="0.2">
      <c r="B39" s="19" t="s">
        <v>59</v>
      </c>
      <c r="C39" s="19" t="s">
        <v>12</v>
      </c>
      <c r="D39" s="31"/>
      <c r="F39" s="45">
        <v>0.21</v>
      </c>
      <c r="H39" s="36">
        <f>IF(ISNUMBER(D39),D39,F39)</f>
        <v>0.21</v>
      </c>
      <c r="N39" s="10"/>
      <c r="O39" s="10"/>
      <c r="P39" s="72"/>
      <c r="Q39" s="31"/>
      <c r="S39" s="45">
        <v>0.32</v>
      </c>
      <c r="U39" s="36">
        <f>IF(ISNUMBER(Q39),Q39,S39)</f>
        <v>0.32</v>
      </c>
      <c r="AA39" s="10"/>
      <c r="AB39" s="14"/>
    </row>
    <row r="40" spans="1:65" s="2" customFormat="1" ht="3.95" customHeight="1" x14ac:dyDescent="0.2">
      <c r="A40" s="19"/>
      <c r="B40" s="19"/>
      <c r="C40" s="19"/>
      <c r="D40" s="26"/>
      <c r="E40" s="19"/>
      <c r="F40" s="26"/>
      <c r="G40" s="19"/>
      <c r="H40" s="10"/>
      <c r="I40" s="19"/>
      <c r="J40" s="26"/>
      <c r="K40" s="19"/>
      <c r="L40" s="26"/>
      <c r="M40" s="19"/>
      <c r="N40" s="10"/>
      <c r="O40" s="10"/>
      <c r="P40" s="72"/>
      <c r="Q40" s="26"/>
      <c r="R40" s="19"/>
      <c r="S40" s="26"/>
      <c r="T40" s="19"/>
      <c r="U40" s="10"/>
      <c r="V40" s="19"/>
      <c r="W40" s="26"/>
      <c r="X40" s="19"/>
      <c r="Y40" s="26"/>
      <c r="Z40" s="19"/>
      <c r="AA40" s="10"/>
      <c r="AB40" s="14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</row>
    <row r="41" spans="1:65" ht="15" customHeight="1" x14ac:dyDescent="0.2">
      <c r="B41" s="19" t="s">
        <v>59</v>
      </c>
      <c r="C41" s="19" t="s">
        <v>168</v>
      </c>
      <c r="D41" s="22"/>
      <c r="E41" s="22"/>
      <c r="F41" s="22"/>
      <c r="G41" s="22"/>
      <c r="H41" s="38">
        <f>H39*H9</f>
        <v>28801.5</v>
      </c>
      <c r="I41" s="22"/>
      <c r="J41" s="22"/>
      <c r="K41" s="22"/>
      <c r="L41" s="22"/>
      <c r="M41" s="22"/>
      <c r="N41" s="10"/>
      <c r="O41" s="10"/>
      <c r="P41" s="72"/>
      <c r="Q41" s="22"/>
      <c r="R41" s="22"/>
      <c r="S41" s="22"/>
      <c r="T41" s="22"/>
      <c r="U41" s="38">
        <f>U39*U9</f>
        <v>43888</v>
      </c>
      <c r="V41" s="22"/>
      <c r="W41" s="22"/>
      <c r="X41" s="22"/>
      <c r="Y41" s="22"/>
      <c r="Z41" s="22"/>
      <c r="AA41" s="10"/>
      <c r="AB41" s="14"/>
    </row>
    <row r="42" spans="1:65" s="2" customFormat="1" ht="3.95" customHeight="1" thickBot="1" x14ac:dyDescent="0.25">
      <c r="A42" s="19"/>
      <c r="B42" s="19"/>
      <c r="C42" s="19"/>
      <c r="D42" s="22"/>
      <c r="E42" s="22"/>
      <c r="F42" s="22"/>
      <c r="G42" s="22"/>
      <c r="H42" s="14"/>
      <c r="I42" s="22"/>
      <c r="J42" s="22"/>
      <c r="K42" s="22"/>
      <c r="L42" s="22"/>
      <c r="M42" s="22"/>
      <c r="N42" s="14"/>
      <c r="O42" s="14"/>
      <c r="P42" s="79"/>
      <c r="Q42" s="22"/>
      <c r="R42" s="22"/>
      <c r="S42" s="22"/>
      <c r="T42" s="22"/>
      <c r="U42" s="14"/>
      <c r="V42" s="22"/>
      <c r="W42" s="22"/>
      <c r="X42" s="22"/>
      <c r="Y42" s="22"/>
      <c r="Z42" s="22"/>
      <c r="AA42" s="14"/>
      <c r="AB42" s="14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</row>
    <row r="43" spans="1:65" ht="15" customHeight="1" thickTop="1" x14ac:dyDescent="0.2">
      <c r="B43" s="19" t="s">
        <v>60</v>
      </c>
      <c r="C43" s="19" t="s">
        <v>174</v>
      </c>
      <c r="D43" s="22"/>
      <c r="F43" s="22"/>
      <c r="H43" s="10"/>
      <c r="J43" s="54"/>
      <c r="L43" s="43">
        <v>19.100000000000001</v>
      </c>
      <c r="N43" s="44">
        <f>IF(ISNUMBER(J43),J43,L43)</f>
        <v>19.100000000000001</v>
      </c>
      <c r="O43" s="70"/>
      <c r="P43" s="80"/>
      <c r="Q43" s="22"/>
      <c r="S43" s="22"/>
      <c r="U43" s="10"/>
      <c r="W43" s="54"/>
      <c r="Y43" s="43">
        <v>10</v>
      </c>
      <c r="AA43" s="44">
        <f>IF(ISNUMBER(W43),W43,Y43)</f>
        <v>10</v>
      </c>
      <c r="AB43" s="14"/>
    </row>
    <row r="44" spans="1:65" s="2" customFormat="1" ht="3.95" customHeight="1" x14ac:dyDescent="0.2">
      <c r="A44" s="19"/>
      <c r="B44" s="19"/>
      <c r="C44" s="19"/>
      <c r="D44" s="22"/>
      <c r="E44" s="19"/>
      <c r="F44" s="22"/>
      <c r="G44" s="19"/>
      <c r="H44" s="10"/>
      <c r="I44" s="19"/>
      <c r="J44" s="22"/>
      <c r="K44" s="19"/>
      <c r="L44" s="22"/>
      <c r="M44" s="19"/>
      <c r="N44" s="10"/>
      <c r="O44" s="10"/>
      <c r="P44" s="72"/>
      <c r="Q44" s="22"/>
      <c r="R44" s="19"/>
      <c r="S44" s="22"/>
      <c r="T44" s="19"/>
      <c r="U44" s="10"/>
      <c r="V44" s="19"/>
      <c r="W44" s="22"/>
      <c r="X44" s="19"/>
      <c r="Y44" s="22"/>
      <c r="Z44" s="19"/>
      <c r="AA44" s="10"/>
      <c r="AB44" s="14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</row>
    <row r="45" spans="1:65" ht="15" customHeight="1" x14ac:dyDescent="0.2">
      <c r="B45" s="19" t="s">
        <v>60</v>
      </c>
      <c r="C45" s="19" t="s">
        <v>9</v>
      </c>
      <c r="D45" s="22"/>
      <c r="F45" s="22"/>
      <c r="H45" s="10"/>
      <c r="J45" s="22"/>
      <c r="L45" s="22"/>
      <c r="N45" s="38">
        <f>$H9/N43</f>
        <v>7180.6282722513088</v>
      </c>
      <c r="O45" s="12"/>
      <c r="P45" s="77"/>
      <c r="Q45" s="22"/>
      <c r="S45" s="22"/>
      <c r="U45" s="10"/>
      <c r="W45" s="22"/>
      <c r="Y45" s="22"/>
      <c r="AA45" s="38">
        <f>$U9/AA43</f>
        <v>13715</v>
      </c>
      <c r="AB45" s="14"/>
    </row>
    <row r="46" spans="1:65" s="2" customFormat="1" ht="3.95" customHeight="1" thickBot="1" x14ac:dyDescent="0.25">
      <c r="A46" s="19"/>
      <c r="B46" s="19"/>
      <c r="C46" s="19"/>
      <c r="D46" s="22"/>
      <c r="E46" s="19"/>
      <c r="F46" s="22"/>
      <c r="G46" s="19"/>
      <c r="H46" s="10"/>
      <c r="I46" s="19"/>
      <c r="J46" s="22"/>
      <c r="K46" s="19"/>
      <c r="L46" s="22"/>
      <c r="M46" s="19"/>
      <c r="N46" s="10"/>
      <c r="O46" s="10"/>
      <c r="P46" s="72"/>
      <c r="Q46" s="22"/>
      <c r="R46" s="19"/>
      <c r="S46" s="22"/>
      <c r="T46" s="19"/>
      <c r="U46" s="10"/>
      <c r="V46" s="19"/>
      <c r="W46" s="22"/>
      <c r="X46" s="19"/>
      <c r="Y46" s="22"/>
      <c r="Z46" s="19"/>
      <c r="AA46" s="10"/>
      <c r="AB46" s="14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</row>
    <row r="47" spans="1:65" ht="15" customHeight="1" thickTop="1" x14ac:dyDescent="0.2">
      <c r="B47" s="19" t="s">
        <v>61</v>
      </c>
      <c r="C47" s="19" t="s">
        <v>21</v>
      </c>
      <c r="D47" s="22"/>
      <c r="F47" s="22"/>
      <c r="H47" s="10"/>
      <c r="J47" s="22"/>
      <c r="L47" s="22"/>
      <c r="N47" s="10"/>
      <c r="O47" s="10"/>
      <c r="P47" s="72"/>
      <c r="Q47" s="56"/>
      <c r="S47" s="45">
        <v>7.4999999999999997E-2</v>
      </c>
      <c r="U47" s="36">
        <f>IF(ISNUMBER(Q47),Q47,S47)</f>
        <v>7.4999999999999997E-2</v>
      </c>
      <c r="W47" s="22"/>
      <c r="Y47" s="22"/>
      <c r="AA47" s="10"/>
      <c r="AB47" s="14"/>
    </row>
    <row r="48" spans="1:65" s="2" customFormat="1" ht="3.95" customHeight="1" x14ac:dyDescent="0.2">
      <c r="A48" s="19"/>
      <c r="B48" s="19"/>
      <c r="C48" s="19"/>
      <c r="D48" s="22"/>
      <c r="E48" s="19"/>
      <c r="F48" s="22"/>
      <c r="G48" s="19"/>
      <c r="H48" s="10"/>
      <c r="I48" s="19"/>
      <c r="J48" s="22"/>
      <c r="K48" s="19"/>
      <c r="L48" s="22"/>
      <c r="M48" s="19"/>
      <c r="N48" s="10"/>
      <c r="O48" s="10"/>
      <c r="P48" s="72"/>
      <c r="Q48" s="26"/>
      <c r="R48" s="19"/>
      <c r="S48" s="26"/>
      <c r="T48" s="19"/>
      <c r="U48" s="10"/>
      <c r="V48" s="19"/>
      <c r="W48" s="22"/>
      <c r="X48" s="19"/>
      <c r="Y48" s="22"/>
      <c r="Z48" s="19"/>
      <c r="AA48" s="10"/>
      <c r="AB48" s="14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</row>
    <row r="49" spans="1:65" ht="15" customHeight="1" x14ac:dyDescent="0.2">
      <c r="B49" s="19" t="s">
        <v>61</v>
      </c>
      <c r="C49" s="19" t="s">
        <v>9</v>
      </c>
      <c r="D49" s="22"/>
      <c r="F49" s="22"/>
      <c r="H49" s="10"/>
      <c r="J49" s="22"/>
      <c r="L49" s="22"/>
      <c r="N49" s="10"/>
      <c r="O49" s="10"/>
      <c r="P49" s="72"/>
      <c r="Q49" s="22"/>
      <c r="R49" s="22"/>
      <c r="S49" s="22"/>
      <c r="T49" s="22"/>
      <c r="U49" s="38">
        <f>U47*U11</f>
        <v>219.375</v>
      </c>
      <c r="W49" s="22"/>
      <c r="Y49" s="22"/>
      <c r="AA49" s="10"/>
      <c r="AB49" s="14"/>
    </row>
    <row r="50" spans="1:65" s="2" customFormat="1" ht="3.95" customHeight="1" x14ac:dyDescent="0.2">
      <c r="A50" s="19"/>
      <c r="B50" s="19"/>
      <c r="C50" s="19"/>
      <c r="D50" s="22"/>
      <c r="E50" s="19"/>
      <c r="F50" s="22"/>
      <c r="G50" s="19"/>
      <c r="H50" s="10"/>
      <c r="I50" s="19"/>
      <c r="J50" s="22"/>
      <c r="K50" s="19"/>
      <c r="L50" s="22"/>
      <c r="M50" s="19"/>
      <c r="N50" s="10"/>
      <c r="O50" s="10"/>
      <c r="P50" s="72"/>
      <c r="Q50" s="22"/>
      <c r="R50" s="19"/>
      <c r="S50" s="22"/>
      <c r="T50" s="19"/>
      <c r="U50" s="10"/>
      <c r="V50" s="19"/>
      <c r="W50" s="22"/>
      <c r="X50" s="19"/>
      <c r="Y50" s="22"/>
      <c r="Z50" s="19"/>
      <c r="AA50" s="10"/>
      <c r="AB50" s="14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</row>
    <row r="51" spans="1:65" ht="15" customHeight="1" thickBot="1" x14ac:dyDescent="0.25">
      <c r="B51" s="18" t="s">
        <v>65</v>
      </c>
      <c r="D51" s="24"/>
      <c r="F51" s="24"/>
      <c r="H51" s="24"/>
      <c r="J51" s="24"/>
      <c r="L51" s="24"/>
      <c r="N51" s="24"/>
      <c r="O51" s="24"/>
      <c r="P51" s="75"/>
      <c r="Q51" s="24"/>
      <c r="S51" s="24"/>
      <c r="U51" s="24"/>
      <c r="W51" s="24"/>
      <c r="Y51" s="24"/>
      <c r="AA51" s="24"/>
    </row>
    <row r="52" spans="1:65" ht="15" customHeight="1" thickTop="1" x14ac:dyDescent="0.2">
      <c r="B52" s="19" t="s">
        <v>25</v>
      </c>
      <c r="C52" s="19" t="s">
        <v>167</v>
      </c>
      <c r="D52" s="31"/>
      <c r="F52" s="17">
        <v>5916</v>
      </c>
      <c r="H52" s="6">
        <f>IF(ISNUMBER(D52),D52,F52)</f>
        <v>5916</v>
      </c>
      <c r="J52" s="31"/>
      <c r="L52" s="17">
        <v>5916</v>
      </c>
      <c r="N52" s="6">
        <f>IF(ISNUMBER(J52),J52,L52)</f>
        <v>5916</v>
      </c>
      <c r="O52" s="10"/>
      <c r="P52" s="72"/>
      <c r="Q52" s="31"/>
      <c r="S52" s="17">
        <v>8880</v>
      </c>
      <c r="U52" s="6">
        <f>IF(ISNUMBER(Q52),Q52,S52)</f>
        <v>8880</v>
      </c>
      <c r="W52" s="31"/>
      <c r="Y52" s="17">
        <v>8880</v>
      </c>
      <c r="AA52" s="6">
        <f>IF(ISNUMBER(W52),W52,Y52)</f>
        <v>8880</v>
      </c>
    </row>
    <row r="53" spans="1:65" s="2" customFormat="1" ht="3.95" customHeight="1" thickBot="1" x14ac:dyDescent="0.25">
      <c r="A53" s="19"/>
      <c r="B53" s="19"/>
      <c r="C53" s="19"/>
      <c r="D53" s="10"/>
      <c r="E53" s="19"/>
      <c r="F53" s="10"/>
      <c r="G53" s="19"/>
      <c r="H53" s="10"/>
      <c r="I53" s="19"/>
      <c r="J53" s="10"/>
      <c r="K53" s="19"/>
      <c r="L53" s="10"/>
      <c r="M53" s="19"/>
      <c r="N53" s="10"/>
      <c r="O53" s="10"/>
      <c r="P53" s="72"/>
      <c r="Q53" s="10"/>
      <c r="R53" s="19"/>
      <c r="S53" s="10"/>
      <c r="T53" s="19"/>
      <c r="U53" s="10"/>
      <c r="V53" s="19"/>
      <c r="W53" s="10"/>
      <c r="X53" s="19"/>
      <c r="Y53" s="10"/>
      <c r="Z53" s="19"/>
      <c r="AA53" s="10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</row>
    <row r="54" spans="1:65" ht="15" customHeight="1" thickTop="1" x14ac:dyDescent="0.2">
      <c r="B54" s="19" t="s">
        <v>32</v>
      </c>
      <c r="C54" s="19" t="s">
        <v>167</v>
      </c>
      <c r="D54" s="31"/>
      <c r="F54" s="17">
        <v>660</v>
      </c>
      <c r="H54" s="6">
        <f>IF(ISNUMBER(D54),D54,F54)</f>
        <v>660</v>
      </c>
      <c r="J54" s="31"/>
      <c r="L54" s="17">
        <v>2580</v>
      </c>
      <c r="N54" s="6">
        <f>IF(ISNUMBER(J54),J54,L54)</f>
        <v>2580</v>
      </c>
      <c r="O54" s="10"/>
      <c r="P54" s="72"/>
      <c r="Q54" s="31"/>
      <c r="S54" s="17">
        <v>780</v>
      </c>
      <c r="U54" s="6">
        <f>IF(ISNUMBER(Q54),Q54,S54)</f>
        <v>780</v>
      </c>
      <c r="W54" s="31"/>
      <c r="Y54" s="17">
        <v>10440</v>
      </c>
      <c r="AA54" s="6">
        <f>IF(ISNUMBER(W54),W54,Y54)</f>
        <v>10440</v>
      </c>
    </row>
    <row r="55" spans="1:65" s="2" customFormat="1" ht="3.95" customHeight="1" thickBot="1" x14ac:dyDescent="0.25">
      <c r="A55" s="19"/>
      <c r="B55" s="19"/>
      <c r="C55" s="19"/>
      <c r="D55" s="10"/>
      <c r="E55" s="19"/>
      <c r="F55" s="10"/>
      <c r="G55" s="19"/>
      <c r="H55" s="10"/>
      <c r="I55" s="19"/>
      <c r="J55" s="10"/>
      <c r="K55" s="19"/>
      <c r="L55" s="10"/>
      <c r="M55" s="19"/>
      <c r="N55" s="10"/>
      <c r="O55" s="10"/>
      <c r="P55" s="72"/>
      <c r="Q55" s="10"/>
      <c r="R55" s="19"/>
      <c r="S55" s="10"/>
      <c r="T55" s="19"/>
      <c r="U55" s="10"/>
      <c r="V55" s="19"/>
      <c r="W55" s="10"/>
      <c r="X55" s="19"/>
      <c r="Y55" s="10"/>
      <c r="Z55" s="19"/>
      <c r="AA55" s="10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</row>
    <row r="56" spans="1:65" ht="15" customHeight="1" thickTop="1" x14ac:dyDescent="0.2">
      <c r="B56" s="19" t="s">
        <v>33</v>
      </c>
      <c r="C56" s="19" t="s">
        <v>167</v>
      </c>
      <c r="D56" s="10"/>
      <c r="F56" s="10"/>
      <c r="H56" s="10"/>
      <c r="J56" s="31"/>
      <c r="L56" s="17">
        <v>5000</v>
      </c>
      <c r="N56" s="6">
        <f>IF(ISNUMBER(J56),J56,L56)</f>
        <v>5000</v>
      </c>
      <c r="O56" s="10"/>
      <c r="P56" s="72"/>
      <c r="Q56" s="10"/>
      <c r="S56" s="10"/>
      <c r="U56" s="10"/>
      <c r="W56" s="31"/>
      <c r="Y56" s="17">
        <v>7000</v>
      </c>
      <c r="AA56" s="6">
        <f>IF(ISNUMBER(W56),W56,Y56)</f>
        <v>7000</v>
      </c>
    </row>
    <row r="57" spans="1:65" s="2" customFormat="1" ht="3.95" customHeight="1" x14ac:dyDescent="0.2">
      <c r="A57" s="19"/>
      <c r="B57" s="19"/>
      <c r="C57" s="19"/>
      <c r="D57" s="10"/>
      <c r="E57" s="19"/>
      <c r="F57" s="10"/>
      <c r="G57" s="19"/>
      <c r="H57" s="10"/>
      <c r="I57" s="19"/>
      <c r="J57" s="10"/>
      <c r="K57" s="19"/>
      <c r="L57" s="10"/>
      <c r="M57" s="19"/>
      <c r="N57" s="10"/>
      <c r="O57" s="10"/>
      <c r="P57" s="72"/>
      <c r="Q57" s="10"/>
      <c r="R57" s="19"/>
      <c r="S57" s="10"/>
      <c r="T57" s="19"/>
      <c r="U57" s="10"/>
      <c r="V57" s="19"/>
      <c r="W57" s="10"/>
      <c r="X57" s="19"/>
      <c r="Y57" s="10"/>
      <c r="Z57" s="19"/>
      <c r="AA57" s="10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</row>
    <row r="58" spans="1:65" ht="15" customHeight="1" x14ac:dyDescent="0.2">
      <c r="B58" s="19" t="s">
        <v>66</v>
      </c>
      <c r="C58" s="19" t="s">
        <v>1</v>
      </c>
      <c r="D58" s="22"/>
      <c r="E58" s="22"/>
      <c r="F58" s="22"/>
      <c r="G58" s="22"/>
      <c r="H58" s="7">
        <f>H15*(H52+H54+H56)</f>
        <v>0</v>
      </c>
      <c r="I58" s="22"/>
      <c r="J58" s="22"/>
      <c r="K58" s="22"/>
      <c r="L58" s="22"/>
      <c r="M58" s="22"/>
      <c r="N58" s="7">
        <f>H15*(N52+N54+N56)</f>
        <v>0</v>
      </c>
      <c r="O58" s="10"/>
      <c r="P58" s="72"/>
      <c r="Q58" s="22"/>
      <c r="R58" s="22"/>
      <c r="S58" s="22"/>
      <c r="T58" s="22"/>
      <c r="U58" s="7">
        <f>U15*(U52+U54+U56)</f>
        <v>0</v>
      </c>
      <c r="V58" s="22"/>
      <c r="W58" s="22"/>
      <c r="X58" s="22"/>
      <c r="Y58" s="22"/>
      <c r="Z58" s="22"/>
      <c r="AA58" s="7">
        <f>U15*(AA52+AA54+AA56)</f>
        <v>0</v>
      </c>
    </row>
    <row r="59" spans="1:65" s="2" customFormat="1" ht="3.95" customHeight="1" x14ac:dyDescent="0.2">
      <c r="A59" s="19"/>
      <c r="B59" s="19"/>
      <c r="C59" s="19"/>
      <c r="D59" s="22"/>
      <c r="E59" s="22"/>
      <c r="F59" s="22"/>
      <c r="G59" s="22"/>
      <c r="H59" s="10"/>
      <c r="I59" s="22"/>
      <c r="J59" s="22"/>
      <c r="K59" s="22"/>
      <c r="L59" s="22"/>
      <c r="M59" s="22"/>
      <c r="N59" s="10"/>
      <c r="O59" s="10"/>
      <c r="P59" s="72"/>
      <c r="Q59" s="22"/>
      <c r="R59" s="22"/>
      <c r="S59" s="22"/>
      <c r="T59" s="22"/>
      <c r="U59" s="10"/>
      <c r="V59" s="22"/>
      <c r="W59" s="22"/>
      <c r="X59" s="22"/>
      <c r="Y59" s="22"/>
      <c r="Z59" s="22"/>
      <c r="AA59" s="10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</row>
    <row r="60" spans="1:65" ht="15" customHeight="1" x14ac:dyDescent="0.2">
      <c r="B60" s="18" t="s">
        <v>63</v>
      </c>
      <c r="D60" s="22"/>
      <c r="F60" s="22"/>
      <c r="H60" s="22"/>
      <c r="J60" s="22"/>
      <c r="L60" s="22"/>
      <c r="N60" s="22"/>
      <c r="Q60" s="22"/>
      <c r="S60" s="22"/>
      <c r="U60" s="22"/>
      <c r="W60" s="22"/>
      <c r="Y60" s="22"/>
      <c r="AA60" s="22"/>
    </row>
    <row r="61" spans="1:65" s="2" customFormat="1" ht="3.95" customHeight="1" thickBot="1" x14ac:dyDescent="0.25">
      <c r="A61" s="19"/>
      <c r="B61" s="18"/>
      <c r="C61" s="19"/>
      <c r="D61" s="22"/>
      <c r="E61" s="19"/>
      <c r="F61" s="22"/>
      <c r="G61" s="19"/>
      <c r="H61" s="22"/>
      <c r="I61" s="19"/>
      <c r="J61" s="22"/>
      <c r="K61" s="19"/>
      <c r="L61" s="22"/>
      <c r="M61" s="19"/>
      <c r="N61" s="22"/>
      <c r="O61" s="22"/>
      <c r="P61" s="81"/>
      <c r="Q61" s="22"/>
      <c r="R61" s="19"/>
      <c r="S61" s="22"/>
      <c r="T61" s="19"/>
      <c r="U61" s="22"/>
      <c r="V61" s="19"/>
      <c r="W61" s="22"/>
      <c r="X61" s="19"/>
      <c r="Y61" s="22"/>
      <c r="Z61" s="19"/>
      <c r="AA61" s="22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</row>
    <row r="62" spans="1:65" ht="15" customHeight="1" thickTop="1" x14ac:dyDescent="0.2">
      <c r="B62" s="19" t="s">
        <v>29</v>
      </c>
      <c r="C62" s="19" t="s">
        <v>48</v>
      </c>
      <c r="D62" s="31"/>
      <c r="F62" s="17">
        <v>10000</v>
      </c>
      <c r="H62" s="6">
        <f>IF(ISNUMBER(D62),D62,F62)</f>
        <v>10000</v>
      </c>
      <c r="J62" s="22"/>
      <c r="L62" s="22"/>
      <c r="N62" s="22"/>
      <c r="Q62" s="31"/>
      <c r="S62" s="17">
        <v>10000</v>
      </c>
      <c r="U62" s="6">
        <f>IF(ISNUMBER(Q62),Q62,S62)</f>
        <v>10000</v>
      </c>
      <c r="W62" s="22"/>
      <c r="Y62" s="22"/>
      <c r="AA62" s="22"/>
    </row>
    <row r="63" spans="1:65" s="2" customFormat="1" ht="3.95" customHeight="1" thickBot="1" x14ac:dyDescent="0.25">
      <c r="A63" s="19"/>
      <c r="B63" s="19"/>
      <c r="C63" s="19"/>
      <c r="D63" s="10"/>
      <c r="E63" s="19"/>
      <c r="F63" s="10"/>
      <c r="G63" s="19"/>
      <c r="H63" s="10"/>
      <c r="I63" s="19"/>
      <c r="J63" s="22"/>
      <c r="K63" s="19"/>
      <c r="L63" s="22"/>
      <c r="M63" s="19"/>
      <c r="N63" s="22"/>
      <c r="O63" s="22"/>
      <c r="P63" s="81"/>
      <c r="Q63" s="10"/>
      <c r="R63" s="19"/>
      <c r="S63" s="10"/>
      <c r="T63" s="19"/>
      <c r="U63" s="10"/>
      <c r="V63" s="19"/>
      <c r="W63" s="22"/>
      <c r="X63" s="19"/>
      <c r="Y63" s="22"/>
      <c r="Z63" s="19"/>
      <c r="AA63" s="22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</row>
    <row r="64" spans="1:65" ht="15" customHeight="1" thickTop="1" x14ac:dyDescent="0.2">
      <c r="B64" s="19" t="s">
        <v>52</v>
      </c>
      <c r="C64" s="19" t="s">
        <v>23</v>
      </c>
      <c r="D64" s="31"/>
      <c r="F64" s="17">
        <v>16</v>
      </c>
      <c r="H64" s="6">
        <f>IF(ISNUMBER(D64),D64,F64)</f>
        <v>16</v>
      </c>
      <c r="J64" s="22"/>
      <c r="L64" s="22"/>
      <c r="N64" s="22"/>
      <c r="Q64" s="31"/>
      <c r="S64" s="17">
        <v>16</v>
      </c>
      <c r="U64" s="6">
        <f>IF(ISNUMBER(Q64),Q64,S64)</f>
        <v>16</v>
      </c>
      <c r="W64" s="22"/>
      <c r="Y64" s="22"/>
      <c r="AA64" s="22"/>
    </row>
    <row r="65" spans="1:65" s="2" customFormat="1" ht="3.95" customHeight="1" thickBot="1" x14ac:dyDescent="0.25">
      <c r="A65" s="19"/>
      <c r="B65" s="19"/>
      <c r="C65" s="19"/>
      <c r="D65" s="24"/>
      <c r="E65" s="19"/>
      <c r="F65" s="24"/>
      <c r="G65" s="19"/>
      <c r="H65" s="10"/>
      <c r="I65" s="19"/>
      <c r="J65" s="22"/>
      <c r="K65" s="19"/>
      <c r="L65" s="22"/>
      <c r="M65" s="19"/>
      <c r="N65" s="22"/>
      <c r="O65" s="22"/>
      <c r="P65" s="81"/>
      <c r="Q65" s="24"/>
      <c r="R65" s="19"/>
      <c r="S65" s="24"/>
      <c r="T65" s="19"/>
      <c r="U65" s="10"/>
      <c r="V65" s="19"/>
      <c r="W65" s="22"/>
      <c r="X65" s="19"/>
      <c r="Y65" s="22"/>
      <c r="Z65" s="19"/>
      <c r="AA65" s="22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</row>
    <row r="66" spans="1:65" ht="15" customHeight="1" thickTop="1" x14ac:dyDescent="0.2">
      <c r="B66" s="19" t="s">
        <v>28</v>
      </c>
      <c r="C66" s="19" t="s">
        <v>51</v>
      </c>
      <c r="D66" s="31"/>
      <c r="F66" s="17">
        <f>1150*1.25</f>
        <v>1437.5</v>
      </c>
      <c r="H66" s="6">
        <f>IF(ISNUMBER(D66),D66,F66)</f>
        <v>1437.5</v>
      </c>
      <c r="J66" s="22"/>
      <c r="L66" s="22"/>
      <c r="N66" s="22"/>
      <c r="Q66" s="31"/>
      <c r="S66" s="17">
        <f>1150*1.25</f>
        <v>1437.5</v>
      </c>
      <c r="U66" s="6">
        <f>IF(ISNUMBER(Q66),Q66,S66)</f>
        <v>1437.5</v>
      </c>
      <c r="W66" s="22"/>
      <c r="Y66" s="22"/>
      <c r="AA66" s="22"/>
    </row>
    <row r="67" spans="1:65" s="2" customFormat="1" ht="3.95" customHeight="1" x14ac:dyDescent="0.2">
      <c r="A67" s="19"/>
      <c r="B67" s="19"/>
      <c r="C67" s="19"/>
      <c r="D67" s="24"/>
      <c r="E67" s="19"/>
      <c r="F67" s="24"/>
      <c r="G67" s="19"/>
      <c r="H67" s="10"/>
      <c r="I67" s="19"/>
      <c r="J67" s="22"/>
      <c r="K67" s="19"/>
      <c r="L67" s="22"/>
      <c r="M67" s="19"/>
      <c r="N67" s="22"/>
      <c r="O67" s="22"/>
      <c r="P67" s="81"/>
      <c r="Q67" s="24"/>
      <c r="R67" s="19"/>
      <c r="S67" s="24"/>
      <c r="T67" s="19"/>
      <c r="U67" s="10"/>
      <c r="V67" s="19"/>
      <c r="W67" s="22"/>
      <c r="X67" s="19"/>
      <c r="Y67" s="22"/>
      <c r="Z67" s="19"/>
      <c r="AA67" s="22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</row>
    <row r="68" spans="1:65" ht="15" customHeight="1" x14ac:dyDescent="0.2">
      <c r="B68" s="19" t="s">
        <v>28</v>
      </c>
      <c r="C68" s="19" t="s">
        <v>48</v>
      </c>
      <c r="D68" s="22"/>
      <c r="E68" s="22"/>
      <c r="F68" s="22"/>
      <c r="G68" s="22"/>
      <c r="H68" s="38">
        <f>H64*H66</f>
        <v>23000</v>
      </c>
      <c r="I68" s="22"/>
      <c r="J68" s="22"/>
      <c r="L68" s="22"/>
      <c r="N68" s="22"/>
      <c r="Q68" s="22"/>
      <c r="R68" s="22"/>
      <c r="S68" s="22"/>
      <c r="T68" s="22"/>
      <c r="U68" s="38">
        <f>U64*U66</f>
        <v>23000</v>
      </c>
      <c r="V68" s="22"/>
      <c r="W68" s="22"/>
      <c r="Y68" s="22"/>
      <c r="AA68" s="22"/>
    </row>
    <row r="69" spans="1:65" s="2" customFormat="1" ht="3.95" customHeight="1" thickBot="1" x14ac:dyDescent="0.25">
      <c r="A69" s="19"/>
      <c r="B69" s="19"/>
      <c r="C69" s="19"/>
      <c r="D69" s="22"/>
      <c r="E69" s="22"/>
      <c r="F69" s="22"/>
      <c r="G69" s="22"/>
      <c r="H69" s="8"/>
      <c r="I69" s="22"/>
      <c r="J69" s="22"/>
      <c r="K69" s="19"/>
      <c r="L69" s="22"/>
      <c r="M69" s="19"/>
      <c r="N69" s="22"/>
      <c r="O69" s="22"/>
      <c r="P69" s="81"/>
      <c r="Q69" s="22"/>
      <c r="R69" s="22"/>
      <c r="S69" s="22"/>
      <c r="T69" s="22"/>
      <c r="U69" s="8"/>
      <c r="V69" s="22"/>
      <c r="W69" s="22"/>
      <c r="X69" s="19"/>
      <c r="Y69" s="22"/>
      <c r="Z69" s="19"/>
      <c r="AA69" s="22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</row>
    <row r="70" spans="1:65" ht="15" customHeight="1" thickTop="1" x14ac:dyDescent="0.2">
      <c r="B70" s="19" t="s">
        <v>27</v>
      </c>
      <c r="C70" s="19" t="s">
        <v>48</v>
      </c>
      <c r="D70" s="31"/>
      <c r="F70" s="17">
        <v>6000</v>
      </c>
      <c r="H70" s="6">
        <f>IF(ISNUMBER(D70),D70,F70)</f>
        <v>6000</v>
      </c>
      <c r="J70" s="22"/>
      <c r="L70" s="22"/>
      <c r="N70" s="22"/>
      <c r="Q70" s="31"/>
      <c r="S70" s="17">
        <v>6000</v>
      </c>
      <c r="U70" s="6">
        <f>IF(ISNUMBER(Q70),Q70,S70)</f>
        <v>6000</v>
      </c>
      <c r="W70" s="22"/>
      <c r="Y70" s="22"/>
      <c r="AA70" s="22"/>
    </row>
    <row r="71" spans="1:65" s="2" customFormat="1" ht="3.95" customHeight="1" thickBot="1" x14ac:dyDescent="0.25">
      <c r="A71" s="19"/>
      <c r="B71" s="19"/>
      <c r="C71" s="19"/>
      <c r="D71" s="10"/>
      <c r="E71" s="19"/>
      <c r="F71" s="10"/>
      <c r="G71" s="19"/>
      <c r="H71" s="10"/>
      <c r="I71" s="19"/>
      <c r="J71" s="22"/>
      <c r="K71" s="19"/>
      <c r="L71" s="22"/>
      <c r="M71" s="19"/>
      <c r="N71" s="22"/>
      <c r="O71" s="22"/>
      <c r="P71" s="81"/>
      <c r="Q71" s="10"/>
      <c r="R71" s="19"/>
      <c r="S71" s="10"/>
      <c r="T71" s="19"/>
      <c r="U71" s="10"/>
      <c r="V71" s="19"/>
      <c r="W71" s="22"/>
      <c r="X71" s="19"/>
      <c r="Y71" s="22"/>
      <c r="Z71" s="19"/>
      <c r="AA71" s="22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</row>
    <row r="72" spans="1:65" ht="15" customHeight="1" thickTop="1" x14ac:dyDescent="0.2">
      <c r="B72" s="19" t="s">
        <v>40</v>
      </c>
      <c r="D72" s="31"/>
      <c r="F72" s="17">
        <v>5</v>
      </c>
      <c r="H72" s="6">
        <f>IF(ISNUMBER(D72),D72,F72)</f>
        <v>5</v>
      </c>
      <c r="J72" s="22"/>
      <c r="L72" s="22"/>
      <c r="N72" s="22"/>
      <c r="Q72" s="31"/>
      <c r="S72" s="17">
        <v>5</v>
      </c>
      <c r="U72" s="6">
        <f>IF(ISNUMBER(Q72),Q72,S72)</f>
        <v>5</v>
      </c>
      <c r="W72" s="22"/>
      <c r="Y72" s="22"/>
      <c r="AA72" s="22"/>
    </row>
    <row r="73" spans="1:65" s="2" customFormat="1" ht="3.95" customHeight="1" thickBot="1" x14ac:dyDescent="0.25">
      <c r="A73" s="19"/>
      <c r="B73" s="19"/>
      <c r="C73" s="19"/>
      <c r="D73" s="24"/>
      <c r="E73" s="19"/>
      <c r="F73" s="24"/>
      <c r="G73" s="19"/>
      <c r="H73" s="10"/>
      <c r="I73" s="19"/>
      <c r="J73" s="22"/>
      <c r="K73" s="19"/>
      <c r="L73" s="22"/>
      <c r="M73" s="19"/>
      <c r="N73" s="22"/>
      <c r="O73" s="22"/>
      <c r="P73" s="81"/>
      <c r="Q73" s="24"/>
      <c r="R73" s="19"/>
      <c r="S73" s="24"/>
      <c r="T73" s="19"/>
      <c r="U73" s="10"/>
      <c r="V73" s="19"/>
      <c r="W73" s="22"/>
      <c r="X73" s="19"/>
      <c r="Y73" s="22"/>
      <c r="Z73" s="19"/>
      <c r="AA73" s="22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</row>
    <row r="74" spans="1:65" ht="15" customHeight="1" thickTop="1" x14ac:dyDescent="0.2">
      <c r="B74" s="19" t="s">
        <v>39</v>
      </c>
      <c r="D74" s="31"/>
      <c r="F74" s="41">
        <v>0.03</v>
      </c>
      <c r="H74" s="42">
        <f>IF(ISNUMBER(D74),D74,F74)</f>
        <v>0.03</v>
      </c>
      <c r="J74" s="22"/>
      <c r="L74" s="22"/>
      <c r="N74" s="22"/>
      <c r="Q74" s="31"/>
      <c r="S74" s="41">
        <v>0.03</v>
      </c>
      <c r="U74" s="42">
        <f>IF(ISNUMBER(Q74),Q74,S74)</f>
        <v>0.03</v>
      </c>
      <c r="W74" s="22"/>
      <c r="Y74" s="22"/>
      <c r="AA74" s="22"/>
    </row>
    <row r="75" spans="1:65" s="2" customFormat="1" ht="3.95" customHeight="1" x14ac:dyDescent="0.2">
      <c r="A75" s="19"/>
      <c r="B75" s="19"/>
      <c r="C75" s="19"/>
      <c r="D75" s="25"/>
      <c r="E75" s="19"/>
      <c r="F75" s="25"/>
      <c r="G75" s="19"/>
      <c r="H75" s="10"/>
      <c r="I75" s="19"/>
      <c r="J75" s="22"/>
      <c r="K75" s="19"/>
      <c r="L75" s="22"/>
      <c r="M75" s="19"/>
      <c r="N75" s="22"/>
      <c r="O75" s="22"/>
      <c r="P75" s="81"/>
      <c r="Q75" s="25"/>
      <c r="R75" s="19"/>
      <c r="S75" s="25"/>
      <c r="T75" s="19"/>
      <c r="U75" s="10"/>
      <c r="V75" s="19"/>
      <c r="W75" s="22"/>
      <c r="X75" s="19"/>
      <c r="Y75" s="22"/>
      <c r="Z75" s="19"/>
      <c r="AA75" s="22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</row>
    <row r="76" spans="1:65" ht="15" customHeight="1" x14ac:dyDescent="0.2">
      <c r="B76" s="19" t="s">
        <v>35</v>
      </c>
      <c r="C76" s="19" t="s">
        <v>1</v>
      </c>
      <c r="D76" s="22"/>
      <c r="E76" s="22"/>
      <c r="F76" s="22"/>
      <c r="G76" s="22"/>
      <c r="H76" s="38">
        <f>-PMT(H74,H72,H62+H68+H70)</f>
        <v>8515.8282846224647</v>
      </c>
      <c r="I76" s="22"/>
      <c r="J76" s="22"/>
      <c r="L76" s="22"/>
      <c r="N76" s="22"/>
      <c r="Q76" s="22"/>
      <c r="R76" s="22"/>
      <c r="S76" s="22"/>
      <c r="T76" s="22"/>
      <c r="U76" s="38">
        <f>-PMT(U74,U72,U62+U68+U70)</f>
        <v>8515.8282846224647</v>
      </c>
      <c r="V76" s="22"/>
      <c r="W76" s="22"/>
      <c r="Y76" s="22"/>
      <c r="AA76" s="22"/>
    </row>
    <row r="77" spans="1:65" s="2" customFormat="1" ht="3.95" customHeight="1" thickBot="1" x14ac:dyDescent="0.25">
      <c r="A77" s="19"/>
      <c r="B77" s="19"/>
      <c r="C77" s="19"/>
      <c r="D77" s="22"/>
      <c r="E77" s="22"/>
      <c r="F77" s="22"/>
      <c r="G77" s="22"/>
      <c r="H77" s="9"/>
      <c r="I77" s="22"/>
      <c r="J77" s="22"/>
      <c r="K77" s="19"/>
      <c r="L77" s="22"/>
      <c r="M77" s="19"/>
      <c r="N77" s="22"/>
      <c r="O77" s="22"/>
      <c r="P77" s="81"/>
      <c r="Q77" s="22"/>
      <c r="R77" s="22"/>
      <c r="S77" s="22"/>
      <c r="T77" s="22"/>
      <c r="U77" s="9"/>
      <c r="V77" s="22"/>
      <c r="W77" s="22"/>
      <c r="X77" s="19"/>
      <c r="Y77" s="22"/>
      <c r="Z77" s="19"/>
      <c r="AA77" s="22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</row>
    <row r="78" spans="1:65" ht="15" customHeight="1" thickTop="1" x14ac:dyDescent="0.2">
      <c r="B78" s="19" t="s">
        <v>37</v>
      </c>
      <c r="C78" s="19" t="s">
        <v>38</v>
      </c>
      <c r="D78" s="31"/>
      <c r="F78" s="17">
        <v>500</v>
      </c>
      <c r="H78" s="6">
        <f>IF(ISNUMBER(D78),D78,F78)</f>
        <v>500</v>
      </c>
      <c r="J78" s="22"/>
      <c r="L78" s="22"/>
      <c r="N78" s="22"/>
      <c r="Q78" s="31"/>
      <c r="S78" s="17">
        <v>500</v>
      </c>
      <c r="U78" s="6">
        <f>IF(ISNUMBER(Q78),Q78,S78)</f>
        <v>500</v>
      </c>
      <c r="W78" s="22"/>
      <c r="Y78" s="22"/>
      <c r="AA78" s="22"/>
    </row>
    <row r="79" spans="1:65" s="2" customFormat="1" ht="3.95" customHeight="1" x14ac:dyDescent="0.2">
      <c r="A79" s="19"/>
      <c r="B79" s="19"/>
      <c r="C79" s="19"/>
      <c r="D79" s="10"/>
      <c r="E79" s="19"/>
      <c r="F79" s="10"/>
      <c r="G79" s="19"/>
      <c r="H79" s="10"/>
      <c r="I79" s="19"/>
      <c r="J79" s="22"/>
      <c r="K79" s="19"/>
      <c r="L79" s="22"/>
      <c r="M79" s="19"/>
      <c r="N79" s="22"/>
      <c r="O79" s="22"/>
      <c r="P79" s="81"/>
      <c r="Q79" s="10"/>
      <c r="R79" s="19"/>
      <c r="S79" s="10"/>
      <c r="T79" s="19"/>
      <c r="U79" s="10"/>
      <c r="V79" s="19"/>
      <c r="W79" s="22"/>
      <c r="X79" s="19"/>
      <c r="Y79" s="22"/>
      <c r="Z79" s="19"/>
      <c r="AA79" s="22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</row>
    <row r="80" spans="1:65" ht="15" customHeight="1" x14ac:dyDescent="0.2">
      <c r="B80" s="19" t="s">
        <v>37</v>
      </c>
      <c r="C80" s="19" t="s">
        <v>1</v>
      </c>
      <c r="D80" s="22"/>
      <c r="E80" s="22"/>
      <c r="F80" s="22"/>
      <c r="G80" s="22"/>
      <c r="H80" s="38">
        <f>12*H78</f>
        <v>6000</v>
      </c>
      <c r="I80" s="22"/>
      <c r="J80" s="22"/>
      <c r="L80" s="22"/>
      <c r="N80" s="22"/>
      <c r="Q80" s="22"/>
      <c r="R80" s="22"/>
      <c r="S80" s="22"/>
      <c r="T80" s="22"/>
      <c r="U80" s="38">
        <f>12*U78</f>
        <v>6000</v>
      </c>
      <c r="V80" s="22"/>
      <c r="W80" s="22"/>
      <c r="Y80" s="22"/>
      <c r="AA80" s="22"/>
    </row>
    <row r="81" spans="1:65" s="2" customFormat="1" ht="3.95" customHeight="1" thickBot="1" x14ac:dyDescent="0.25">
      <c r="A81" s="19"/>
      <c r="B81" s="19"/>
      <c r="C81" s="19"/>
      <c r="D81" s="22"/>
      <c r="E81" s="22"/>
      <c r="F81" s="22"/>
      <c r="G81" s="22"/>
      <c r="H81" s="10"/>
      <c r="I81" s="22"/>
      <c r="J81" s="22"/>
      <c r="K81" s="19"/>
      <c r="L81" s="22"/>
      <c r="M81" s="19"/>
      <c r="N81" s="22"/>
      <c r="O81" s="22"/>
      <c r="P81" s="81"/>
      <c r="Q81" s="22"/>
      <c r="R81" s="22"/>
      <c r="S81" s="22"/>
      <c r="T81" s="22"/>
      <c r="U81" s="10"/>
      <c r="V81" s="22"/>
      <c r="W81" s="22"/>
      <c r="X81" s="19"/>
      <c r="Y81" s="22"/>
      <c r="Z81" s="19"/>
      <c r="AA81" s="22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</row>
    <row r="82" spans="1:65" ht="15" customHeight="1" thickTop="1" x14ac:dyDescent="0.2">
      <c r="B82" s="19" t="s">
        <v>36</v>
      </c>
      <c r="C82" s="19" t="s">
        <v>53</v>
      </c>
      <c r="D82" s="31"/>
      <c r="F82" s="17">
        <v>79</v>
      </c>
      <c r="H82" s="6">
        <f>IF(ISNUMBER(D82),D82,F82)</f>
        <v>79</v>
      </c>
      <c r="J82" s="22"/>
      <c r="L82" s="22"/>
      <c r="N82" s="22"/>
      <c r="Q82" s="31"/>
      <c r="S82" s="17">
        <v>79</v>
      </c>
      <c r="U82" s="6">
        <f>IF(ISNUMBER(Q82),Q82,S82)</f>
        <v>79</v>
      </c>
      <c r="W82" s="22"/>
      <c r="Y82" s="22"/>
      <c r="AA82" s="22"/>
    </row>
    <row r="83" spans="1:65" s="2" customFormat="1" ht="3.95" customHeight="1" x14ac:dyDescent="0.2">
      <c r="A83" s="19"/>
      <c r="B83" s="19"/>
      <c r="C83" s="19"/>
      <c r="D83" s="10"/>
      <c r="E83" s="19"/>
      <c r="F83" s="10"/>
      <c r="G83" s="19"/>
      <c r="H83" s="10"/>
      <c r="I83" s="19"/>
      <c r="J83" s="22"/>
      <c r="K83" s="19"/>
      <c r="L83" s="22"/>
      <c r="M83" s="19"/>
      <c r="N83" s="22"/>
      <c r="O83" s="22"/>
      <c r="P83" s="81"/>
      <c r="Q83" s="10"/>
      <c r="R83" s="19"/>
      <c r="S83" s="10"/>
      <c r="T83" s="19"/>
      <c r="U83" s="10"/>
      <c r="V83" s="19"/>
      <c r="W83" s="22"/>
      <c r="X83" s="19"/>
      <c r="Y83" s="22"/>
      <c r="Z83" s="19"/>
      <c r="AA83" s="22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</row>
    <row r="84" spans="1:65" ht="15" customHeight="1" x14ac:dyDescent="0.2">
      <c r="B84" s="19" t="s">
        <v>36</v>
      </c>
      <c r="C84" s="19" t="s">
        <v>1</v>
      </c>
      <c r="D84" s="22"/>
      <c r="E84" s="22"/>
      <c r="F84" s="22"/>
      <c r="G84" s="22"/>
      <c r="H84" s="34">
        <f>12*H82</f>
        <v>948</v>
      </c>
      <c r="I84" s="22"/>
      <c r="J84" s="22"/>
      <c r="L84" s="22"/>
      <c r="N84" s="22"/>
      <c r="Q84" s="22"/>
      <c r="R84" s="22"/>
      <c r="S84" s="22"/>
      <c r="T84" s="22"/>
      <c r="U84" s="34">
        <f>12*U82</f>
        <v>948</v>
      </c>
      <c r="V84" s="22"/>
      <c r="W84" s="22"/>
      <c r="Y84" s="22"/>
      <c r="AA84" s="22"/>
    </row>
    <row r="85" spans="1:65" s="2" customFormat="1" ht="3.95" customHeight="1" x14ac:dyDescent="0.2">
      <c r="A85" s="19"/>
      <c r="B85" s="19"/>
      <c r="C85" s="19"/>
      <c r="D85" s="22"/>
      <c r="E85" s="22"/>
      <c r="F85" s="22"/>
      <c r="G85" s="22"/>
      <c r="H85" s="10"/>
      <c r="I85" s="22"/>
      <c r="J85" s="22"/>
      <c r="K85" s="19"/>
      <c r="L85" s="22"/>
      <c r="M85" s="19"/>
      <c r="N85" s="22"/>
      <c r="O85" s="22"/>
      <c r="P85" s="81"/>
      <c r="Q85" s="22"/>
      <c r="R85" s="22"/>
      <c r="S85" s="22"/>
      <c r="T85" s="22"/>
      <c r="U85" s="10"/>
      <c r="V85" s="22"/>
      <c r="W85" s="22"/>
      <c r="X85" s="19"/>
      <c r="Y85" s="22"/>
      <c r="Z85" s="19"/>
      <c r="AA85" s="22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</row>
    <row r="86" spans="1:65" ht="15" customHeight="1" x14ac:dyDescent="0.2">
      <c r="B86" s="19" t="s">
        <v>64</v>
      </c>
      <c r="C86" s="19" t="s">
        <v>1</v>
      </c>
      <c r="D86" s="22"/>
      <c r="E86" s="22"/>
      <c r="F86" s="22"/>
      <c r="G86" s="22"/>
      <c r="H86" s="7">
        <f>IF(H15=0,0,H15*(H76+H80)+H84)</f>
        <v>0</v>
      </c>
      <c r="I86" s="22"/>
      <c r="J86" s="22"/>
      <c r="L86" s="22"/>
      <c r="N86" s="22"/>
      <c r="Q86" s="22"/>
      <c r="R86" s="22"/>
      <c r="S86" s="22"/>
      <c r="T86" s="22"/>
      <c r="U86" s="7">
        <f>IF(U15=0,0,U15*(U76+U80)+U84)</f>
        <v>0</v>
      </c>
      <c r="V86" s="22"/>
      <c r="W86" s="22"/>
      <c r="Y86" s="22"/>
      <c r="AA86" s="22"/>
    </row>
    <row r="87" spans="1:65" s="2" customFormat="1" ht="3.95" customHeight="1" x14ac:dyDescent="0.2">
      <c r="A87" s="19"/>
      <c r="B87" s="19"/>
      <c r="C87" s="19"/>
      <c r="D87" s="22"/>
      <c r="E87" s="22"/>
      <c r="F87" s="22"/>
      <c r="G87" s="22"/>
      <c r="H87" s="10"/>
      <c r="I87" s="22"/>
      <c r="J87" s="22"/>
      <c r="K87" s="22"/>
      <c r="L87" s="22"/>
      <c r="M87" s="22"/>
      <c r="N87" s="10"/>
      <c r="O87" s="10"/>
      <c r="P87" s="72"/>
      <c r="Q87" s="22"/>
      <c r="R87" s="22"/>
      <c r="S87" s="22"/>
      <c r="T87" s="22"/>
      <c r="U87" s="10"/>
      <c r="V87" s="22"/>
      <c r="W87" s="22"/>
      <c r="X87" s="22"/>
      <c r="Y87" s="22"/>
      <c r="Z87" s="22"/>
      <c r="AA87" s="10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</row>
    <row r="88" spans="1:65" ht="15" customHeight="1" thickBot="1" x14ac:dyDescent="0.25">
      <c r="B88" s="18" t="s">
        <v>30</v>
      </c>
      <c r="D88" s="24"/>
      <c r="F88" s="24"/>
      <c r="H88" s="24"/>
      <c r="J88" s="24"/>
      <c r="L88" s="24"/>
      <c r="N88" s="24"/>
      <c r="O88" s="24"/>
      <c r="P88" s="75"/>
      <c r="Q88" s="24"/>
      <c r="S88" s="24"/>
      <c r="U88" s="24"/>
      <c r="W88" s="24"/>
      <c r="Y88" s="24"/>
      <c r="AA88" s="24"/>
    </row>
    <row r="89" spans="1:65" ht="15" customHeight="1" thickTop="1" x14ac:dyDescent="0.2">
      <c r="B89" s="19" t="s">
        <v>55</v>
      </c>
      <c r="C89" s="19" t="s">
        <v>7</v>
      </c>
      <c r="D89" s="31"/>
      <c r="F89" s="45">
        <v>2.5</v>
      </c>
      <c r="H89" s="36">
        <f>IF(ISNUMBER(D89),D89,F89)</f>
        <v>2.5</v>
      </c>
      <c r="J89" s="24"/>
      <c r="L89" s="24"/>
      <c r="N89" s="24"/>
      <c r="O89" s="24"/>
      <c r="P89" s="75"/>
      <c r="Q89" s="31"/>
      <c r="S89" s="45">
        <v>2.25</v>
      </c>
      <c r="U89" s="36">
        <f>IF(ISNUMBER(Q89),Q89,S89)</f>
        <v>2.25</v>
      </c>
      <c r="W89" s="24"/>
      <c r="Y89" s="24"/>
      <c r="AA89" s="24"/>
      <c r="AB89" s="14"/>
    </row>
    <row r="90" spans="1:65" s="2" customFormat="1" ht="3.95" customHeight="1" thickBot="1" x14ac:dyDescent="0.25">
      <c r="A90" s="19"/>
      <c r="B90" s="19"/>
      <c r="C90" s="19"/>
      <c r="D90" s="26"/>
      <c r="E90" s="19"/>
      <c r="F90" s="26"/>
      <c r="G90" s="19"/>
      <c r="H90" s="10"/>
      <c r="I90" s="19"/>
      <c r="J90" s="26"/>
      <c r="K90" s="19"/>
      <c r="L90" s="26"/>
      <c r="M90" s="19"/>
      <c r="N90" s="10"/>
      <c r="O90" s="10"/>
      <c r="P90" s="72"/>
      <c r="Q90" s="26"/>
      <c r="R90" s="19"/>
      <c r="S90" s="26"/>
      <c r="T90" s="19"/>
      <c r="U90" s="10"/>
      <c r="V90" s="19"/>
      <c r="W90" s="26"/>
      <c r="X90" s="19"/>
      <c r="Y90" s="26"/>
      <c r="Z90" s="19"/>
      <c r="AA90" s="10"/>
      <c r="AB90" s="14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</row>
    <row r="91" spans="1:65" ht="15" customHeight="1" thickTop="1" x14ac:dyDescent="0.2">
      <c r="B91" s="19" t="s">
        <v>56</v>
      </c>
      <c r="C91" s="19" t="s">
        <v>7</v>
      </c>
      <c r="D91" s="31"/>
      <c r="F91" s="45">
        <v>1.1200000000000001</v>
      </c>
      <c r="H91" s="36">
        <f>IF(ISNUMBER(D91),D91,F91)</f>
        <v>1.1200000000000001</v>
      </c>
      <c r="J91" s="26"/>
      <c r="L91" s="26"/>
      <c r="N91" s="10"/>
      <c r="O91" s="10"/>
      <c r="P91" s="72"/>
      <c r="Q91" s="31"/>
      <c r="S91" s="45">
        <v>1.1200000000000001</v>
      </c>
      <c r="U91" s="36">
        <f>IF(ISNUMBER(Q91),Q91,S91)</f>
        <v>1.1200000000000001</v>
      </c>
      <c r="W91" s="26"/>
      <c r="Y91" s="26"/>
      <c r="AA91" s="10"/>
      <c r="AB91" s="14"/>
    </row>
    <row r="92" spans="1:65" s="2" customFormat="1" ht="3.95" customHeight="1" x14ac:dyDescent="0.2">
      <c r="A92" s="19"/>
      <c r="B92" s="19"/>
      <c r="C92" s="19"/>
      <c r="D92" s="26"/>
      <c r="E92" s="19"/>
      <c r="F92" s="26"/>
      <c r="G92" s="19"/>
      <c r="H92" s="10"/>
      <c r="I92" s="19"/>
      <c r="J92" s="26"/>
      <c r="K92" s="19"/>
      <c r="L92" s="26"/>
      <c r="M92" s="19"/>
      <c r="N92" s="10"/>
      <c r="O92" s="10"/>
      <c r="P92" s="72"/>
      <c r="Q92" s="26"/>
      <c r="R92" s="19"/>
      <c r="S92" s="26"/>
      <c r="T92" s="19"/>
      <c r="U92" s="10"/>
      <c r="V92" s="19"/>
      <c r="W92" s="26"/>
      <c r="X92" s="19"/>
      <c r="Y92" s="26"/>
      <c r="Z92" s="19"/>
      <c r="AA92" s="10"/>
      <c r="AB92" s="14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</row>
    <row r="93" spans="1:65" ht="15" customHeight="1" x14ac:dyDescent="0.2">
      <c r="B93" s="19" t="s">
        <v>34</v>
      </c>
      <c r="C93" s="19" t="s">
        <v>0</v>
      </c>
      <c r="D93" s="22"/>
      <c r="E93" s="22"/>
      <c r="F93" s="22"/>
      <c r="G93" s="22"/>
      <c r="H93" s="46">
        <f>H22/$H5</f>
        <v>0.87677725118483407</v>
      </c>
      <c r="I93" s="22"/>
      <c r="J93" s="22"/>
      <c r="K93" s="22"/>
      <c r="L93" s="22"/>
      <c r="M93" s="22"/>
      <c r="N93" s="10"/>
      <c r="O93" s="10"/>
      <c r="P93" s="72"/>
      <c r="Q93" s="22"/>
      <c r="R93" s="22"/>
      <c r="S93" s="22"/>
      <c r="T93" s="22"/>
      <c r="U93" s="46">
        <f>U22/$U5</f>
        <v>0.59241706161137442</v>
      </c>
      <c r="V93" s="22"/>
      <c r="W93" s="22"/>
      <c r="X93" s="22"/>
      <c r="Y93" s="22"/>
      <c r="Z93" s="22"/>
      <c r="AA93" s="10"/>
    </row>
    <row r="94" spans="1:65" s="2" customFormat="1" ht="3.95" customHeight="1" x14ac:dyDescent="0.2">
      <c r="A94" s="19"/>
      <c r="B94" s="19"/>
      <c r="C94" s="19"/>
      <c r="D94" s="22"/>
      <c r="E94" s="22"/>
      <c r="F94" s="22"/>
      <c r="G94" s="22"/>
      <c r="H94" s="11"/>
      <c r="I94" s="22"/>
      <c r="J94" s="22"/>
      <c r="K94" s="22"/>
      <c r="L94" s="22"/>
      <c r="M94" s="22"/>
      <c r="N94" s="11"/>
      <c r="O94" s="11"/>
      <c r="P94" s="82"/>
      <c r="Q94" s="22"/>
      <c r="R94" s="22"/>
      <c r="S94" s="22"/>
      <c r="T94" s="22"/>
      <c r="U94" s="11"/>
      <c r="V94" s="22"/>
      <c r="W94" s="22"/>
      <c r="X94" s="22"/>
      <c r="Y94" s="22"/>
      <c r="Z94" s="22"/>
      <c r="AA94" s="11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</row>
    <row r="95" spans="1:65" ht="15" customHeight="1" x14ac:dyDescent="0.2">
      <c r="B95" s="19" t="s">
        <v>57</v>
      </c>
      <c r="C95" s="19" t="s">
        <v>168</v>
      </c>
      <c r="D95" s="22"/>
      <c r="E95" s="22"/>
      <c r="F95" s="22"/>
      <c r="G95" s="22"/>
      <c r="H95" s="38">
        <f>H41*H93*(1+H97)</f>
        <v>28282.800000000003</v>
      </c>
      <c r="I95" s="22"/>
      <c r="J95" s="22"/>
      <c r="K95" s="22"/>
      <c r="L95" s="22"/>
      <c r="M95" s="22"/>
      <c r="N95" s="11"/>
      <c r="O95" s="11"/>
      <c r="P95" s="82"/>
      <c r="Q95" s="22"/>
      <c r="R95" s="22"/>
      <c r="S95" s="22"/>
      <c r="T95" s="22"/>
      <c r="U95" s="38">
        <f>U41*U93*(1+U97)</f>
        <v>29120.000000000004</v>
      </c>
      <c r="V95" s="22"/>
      <c r="W95" s="22"/>
      <c r="X95" s="22"/>
      <c r="Y95" s="22"/>
      <c r="Z95" s="22"/>
      <c r="AA95" s="11"/>
    </row>
    <row r="96" spans="1:65" s="2" customFormat="1" ht="3.95" customHeight="1" thickBot="1" x14ac:dyDescent="0.25">
      <c r="A96" s="19"/>
      <c r="B96" s="19"/>
      <c r="C96" s="19"/>
      <c r="D96" s="22"/>
      <c r="E96" s="22"/>
      <c r="F96" s="22"/>
      <c r="G96" s="22"/>
      <c r="H96" s="10"/>
      <c r="I96" s="22"/>
      <c r="J96" s="22"/>
      <c r="K96" s="22"/>
      <c r="L96" s="22"/>
      <c r="M96" s="22"/>
      <c r="N96" s="10"/>
      <c r="O96" s="10"/>
      <c r="P96" s="72"/>
      <c r="Q96" s="22"/>
      <c r="R96" s="22"/>
      <c r="S96" s="22"/>
      <c r="T96" s="22"/>
      <c r="U96" s="10"/>
      <c r="V96" s="22"/>
      <c r="W96" s="22"/>
      <c r="X96" s="22"/>
      <c r="Y96" s="22"/>
      <c r="Z96" s="22"/>
      <c r="AA96" s="10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</row>
    <row r="97" spans="1:65" ht="15" customHeight="1" thickTop="1" x14ac:dyDescent="0.2">
      <c r="B97" s="19" t="s">
        <v>54</v>
      </c>
      <c r="C97" s="19" t="s">
        <v>0</v>
      </c>
      <c r="D97" s="47"/>
      <c r="F97" s="41">
        <v>0.12</v>
      </c>
      <c r="H97" s="48">
        <f>IF(ISNUMBER(D97),D97,F97)</f>
        <v>0.12</v>
      </c>
      <c r="J97" s="22"/>
      <c r="K97" s="22"/>
      <c r="L97" s="22"/>
      <c r="M97" s="22"/>
      <c r="N97" s="10"/>
      <c r="O97" s="10"/>
      <c r="P97" s="72"/>
      <c r="Q97" s="47"/>
      <c r="S97" s="41">
        <v>0.12</v>
      </c>
      <c r="U97" s="48">
        <f>IF(ISNUMBER(Q97),Q97,S97)</f>
        <v>0.12</v>
      </c>
      <c r="W97" s="22"/>
      <c r="X97" s="22"/>
      <c r="Y97" s="22"/>
      <c r="Z97" s="22"/>
      <c r="AA97" s="10"/>
      <c r="AB97" s="14"/>
    </row>
    <row r="98" spans="1:65" s="2" customFormat="1" ht="3.95" customHeight="1" x14ac:dyDescent="0.2">
      <c r="A98" s="19"/>
      <c r="B98" s="19"/>
      <c r="C98" s="19"/>
      <c r="D98" s="11"/>
      <c r="E98" s="19"/>
      <c r="F98" s="11"/>
      <c r="G98" s="19"/>
      <c r="H98" s="10"/>
      <c r="I98" s="19"/>
      <c r="J98" s="11"/>
      <c r="K98" s="19"/>
      <c r="L98" s="11"/>
      <c r="M98" s="19"/>
      <c r="N98" s="10"/>
      <c r="O98" s="10"/>
      <c r="P98" s="72"/>
      <c r="Q98" s="11"/>
      <c r="R98" s="19"/>
      <c r="S98" s="11"/>
      <c r="T98" s="19"/>
      <c r="U98" s="10"/>
      <c r="V98" s="19"/>
      <c r="W98" s="11"/>
      <c r="X98" s="19"/>
      <c r="Y98" s="11"/>
      <c r="Z98" s="19"/>
      <c r="AA98" s="10"/>
      <c r="AB98" s="14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</row>
    <row r="99" spans="1:65" ht="15" customHeight="1" x14ac:dyDescent="0.2">
      <c r="B99" s="19" t="s">
        <v>67</v>
      </c>
      <c r="C99" s="19" t="s">
        <v>1</v>
      </c>
      <c r="D99" s="22"/>
      <c r="E99" s="22"/>
      <c r="F99" s="22"/>
      <c r="G99" s="22"/>
      <c r="H99" s="7">
        <f>H15*(H95*(H89-H91))</f>
        <v>0</v>
      </c>
      <c r="I99" s="22"/>
      <c r="J99" s="22"/>
      <c r="K99" s="22"/>
      <c r="L99" s="22"/>
      <c r="M99" s="22"/>
      <c r="N99" s="10"/>
      <c r="O99" s="10"/>
      <c r="P99" s="72"/>
      <c r="Q99" s="22"/>
      <c r="R99" s="22"/>
      <c r="S99" s="22"/>
      <c r="T99" s="22"/>
      <c r="U99" s="7">
        <f>U15*(U95*(U89-U91))</f>
        <v>0</v>
      </c>
      <c r="V99" s="22"/>
      <c r="W99" s="22"/>
      <c r="X99" s="22"/>
      <c r="Y99" s="22"/>
      <c r="Z99" s="22"/>
      <c r="AA99" s="10"/>
    </row>
    <row r="100" spans="1:65" s="2" customFormat="1" ht="3.95" customHeight="1" x14ac:dyDescent="0.2">
      <c r="A100" s="19"/>
      <c r="B100" s="19"/>
      <c r="C100" s="19"/>
      <c r="D100" s="22"/>
      <c r="E100" s="22"/>
      <c r="F100" s="22"/>
      <c r="G100" s="22"/>
      <c r="H100" s="10"/>
      <c r="I100" s="22"/>
      <c r="J100" s="22"/>
      <c r="K100" s="22"/>
      <c r="L100" s="22"/>
      <c r="M100" s="22"/>
      <c r="N100" s="10"/>
      <c r="O100" s="10"/>
      <c r="P100" s="72"/>
      <c r="Q100" s="22"/>
      <c r="R100" s="22"/>
      <c r="S100" s="22"/>
      <c r="T100" s="22"/>
      <c r="U100" s="10"/>
      <c r="V100" s="22"/>
      <c r="W100" s="22"/>
      <c r="X100" s="22"/>
      <c r="Y100" s="22"/>
      <c r="Z100" s="22"/>
      <c r="AA100" s="10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</row>
    <row r="101" spans="1:65" ht="15" customHeight="1" x14ac:dyDescent="0.2">
      <c r="B101" s="18" t="s">
        <v>31</v>
      </c>
      <c r="D101" s="22"/>
      <c r="F101" s="22"/>
      <c r="H101" s="22"/>
      <c r="J101" s="22"/>
      <c r="L101" s="22"/>
      <c r="N101" s="22"/>
      <c r="Q101" s="22"/>
      <c r="S101" s="22"/>
      <c r="U101" s="22"/>
      <c r="W101" s="22"/>
      <c r="Y101" s="22"/>
      <c r="AA101" s="22"/>
    </row>
    <row r="102" spans="1:65" ht="15" customHeight="1" x14ac:dyDescent="0.2">
      <c r="B102" s="19" t="s">
        <v>34</v>
      </c>
      <c r="C102" s="19" t="s">
        <v>0</v>
      </c>
      <c r="D102" s="22"/>
      <c r="E102" s="22"/>
      <c r="F102" s="22"/>
      <c r="G102" s="22"/>
      <c r="H102" s="46">
        <f>1-H93</f>
        <v>0.12322274881516593</v>
      </c>
      <c r="I102" s="22"/>
      <c r="J102" s="22"/>
      <c r="K102" s="22"/>
      <c r="L102" s="22"/>
      <c r="M102" s="22"/>
      <c r="N102" s="22"/>
      <c r="Q102" s="22"/>
      <c r="R102" s="22"/>
      <c r="S102" s="22"/>
      <c r="T102" s="22"/>
      <c r="U102" s="46">
        <f>1-U93</f>
        <v>0.40758293838862558</v>
      </c>
      <c r="V102" s="22"/>
      <c r="W102" s="22"/>
      <c r="X102" s="22"/>
      <c r="Y102" s="22"/>
      <c r="Z102" s="22"/>
      <c r="AA102" s="22"/>
    </row>
    <row r="103" spans="1:65" s="2" customFormat="1" ht="3.95" customHeight="1" thickBot="1" x14ac:dyDescent="0.25">
      <c r="A103" s="19"/>
      <c r="B103" s="19"/>
      <c r="C103" s="19"/>
      <c r="D103" s="22"/>
      <c r="E103" s="22"/>
      <c r="F103" s="22"/>
      <c r="G103" s="22"/>
      <c r="H103" s="11"/>
      <c r="I103" s="22"/>
      <c r="J103" s="22"/>
      <c r="K103" s="22"/>
      <c r="L103" s="22"/>
      <c r="M103" s="22"/>
      <c r="N103" s="11"/>
      <c r="O103" s="11"/>
      <c r="P103" s="82"/>
      <c r="Q103" s="22"/>
      <c r="R103" s="22"/>
      <c r="S103" s="22"/>
      <c r="T103" s="22"/>
      <c r="U103" s="11"/>
      <c r="V103" s="22"/>
      <c r="W103" s="22"/>
      <c r="X103" s="22"/>
      <c r="Y103" s="22"/>
      <c r="Z103" s="22"/>
      <c r="AA103" s="11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</row>
    <row r="104" spans="1:65" ht="15" customHeight="1" thickTop="1" x14ac:dyDescent="0.2">
      <c r="B104" s="19" t="s">
        <v>100</v>
      </c>
      <c r="C104" s="19" t="s">
        <v>20</v>
      </c>
      <c r="D104" s="31"/>
      <c r="F104" s="17">
        <f>520</f>
        <v>520</v>
      </c>
      <c r="H104" s="6">
        <f>IF(ISNUMBER(D104),D104,F104)</f>
        <v>520</v>
      </c>
      <c r="J104" s="22"/>
      <c r="K104" s="22"/>
      <c r="L104" s="22"/>
      <c r="M104" s="22"/>
      <c r="N104" s="11"/>
      <c r="O104" s="11"/>
      <c r="P104" s="82"/>
      <c r="Q104" s="31"/>
      <c r="S104" s="17">
        <v>225</v>
      </c>
      <c r="U104" s="6">
        <f>IF(ISNUMBER(Q104),Q104,S104)</f>
        <v>225</v>
      </c>
      <c r="W104" s="22"/>
      <c r="X104" s="22"/>
      <c r="Y104" s="22"/>
      <c r="Z104" s="22"/>
      <c r="AA104" s="11"/>
    </row>
    <row r="105" spans="1:65" s="2" customFormat="1" ht="3.95" customHeight="1" x14ac:dyDescent="0.2">
      <c r="A105" s="19"/>
      <c r="B105" s="19"/>
      <c r="C105" s="19"/>
      <c r="D105" s="10"/>
      <c r="E105" s="19"/>
      <c r="F105" s="10"/>
      <c r="G105" s="19"/>
      <c r="H105" s="10"/>
      <c r="I105" s="19"/>
      <c r="J105" s="10"/>
      <c r="K105" s="19"/>
      <c r="L105" s="10"/>
      <c r="M105" s="19"/>
      <c r="N105" s="10"/>
      <c r="O105" s="10"/>
      <c r="P105" s="72"/>
      <c r="Q105" s="10"/>
      <c r="R105" s="19"/>
      <c r="S105" s="10"/>
      <c r="T105" s="19"/>
      <c r="U105" s="10"/>
      <c r="V105" s="19"/>
      <c r="W105" s="10"/>
      <c r="X105" s="19"/>
      <c r="Y105" s="10"/>
      <c r="Z105" s="19"/>
      <c r="AA105" s="10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</row>
    <row r="106" spans="1:65" ht="15" customHeight="1" x14ac:dyDescent="0.2">
      <c r="B106" s="19" t="s">
        <v>101</v>
      </c>
      <c r="C106" s="19" t="s">
        <v>102</v>
      </c>
      <c r="D106" s="22"/>
      <c r="E106" s="22"/>
      <c r="F106" s="22"/>
      <c r="G106" s="22"/>
      <c r="H106" s="34">
        <f>($H5-H22)/H104*60</f>
        <v>6</v>
      </c>
      <c r="I106" s="22"/>
      <c r="J106" s="10"/>
      <c r="L106" s="10"/>
      <c r="N106" s="10"/>
      <c r="O106" s="10"/>
      <c r="P106" s="72"/>
      <c r="Q106" s="22"/>
      <c r="R106" s="22"/>
      <c r="S106" s="22"/>
      <c r="T106" s="22"/>
      <c r="U106" s="34">
        <f>($U5-U22)/U104*60</f>
        <v>45.866666666666667</v>
      </c>
      <c r="V106" s="22"/>
      <c r="W106" s="10"/>
      <c r="Y106" s="10"/>
      <c r="AA106" s="10"/>
    </row>
    <row r="107" spans="1:65" s="2" customFormat="1" ht="3.95" customHeight="1" thickBot="1" x14ac:dyDescent="0.25">
      <c r="A107" s="19"/>
      <c r="B107" s="19"/>
      <c r="C107" s="19"/>
      <c r="D107" s="22"/>
      <c r="E107" s="22"/>
      <c r="F107" s="22"/>
      <c r="G107" s="22"/>
      <c r="H107" s="13"/>
      <c r="I107" s="22"/>
      <c r="J107" s="22"/>
      <c r="K107" s="22"/>
      <c r="L107" s="22"/>
      <c r="M107" s="22"/>
      <c r="N107" s="13"/>
      <c r="O107" s="13"/>
      <c r="P107" s="73"/>
      <c r="Q107" s="22"/>
      <c r="R107" s="22"/>
      <c r="S107" s="22"/>
      <c r="T107" s="22"/>
      <c r="U107" s="13"/>
      <c r="V107" s="22"/>
      <c r="W107" s="22"/>
      <c r="X107" s="22"/>
      <c r="Y107" s="22"/>
      <c r="Z107" s="22"/>
      <c r="AA107" s="13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</row>
    <row r="108" spans="1:65" ht="15" customHeight="1" thickTop="1" x14ac:dyDescent="0.2">
      <c r="B108" s="19" t="s">
        <v>55</v>
      </c>
      <c r="C108" s="19" t="s">
        <v>7</v>
      </c>
      <c r="D108" s="56"/>
      <c r="F108" s="57">
        <v>5</v>
      </c>
      <c r="H108" s="36">
        <f>IF(ISNUMBER(D108),D108,F108)</f>
        <v>5</v>
      </c>
      <c r="J108" s="22"/>
      <c r="K108" s="22"/>
      <c r="L108" s="22"/>
      <c r="M108" s="22"/>
      <c r="N108" s="13"/>
      <c r="O108" s="13"/>
      <c r="P108" s="73"/>
      <c r="Q108" s="55"/>
      <c r="S108" s="45">
        <v>5</v>
      </c>
      <c r="U108" s="36">
        <f>IF(ISNUMBER(Q108),Q108,S108)</f>
        <v>5</v>
      </c>
      <c r="W108" s="22"/>
      <c r="X108" s="22"/>
      <c r="Y108" s="22"/>
      <c r="Z108" s="22"/>
      <c r="AA108" s="13"/>
      <c r="AB108" s="14"/>
    </row>
    <row r="109" spans="1:65" s="2" customFormat="1" ht="3.95" customHeight="1" x14ac:dyDescent="0.2">
      <c r="A109" s="19"/>
      <c r="B109" s="19"/>
      <c r="C109" s="19"/>
      <c r="D109" s="27"/>
      <c r="E109" s="19"/>
      <c r="F109" s="27"/>
      <c r="G109" s="19"/>
      <c r="H109" s="37"/>
      <c r="I109" s="19"/>
      <c r="J109" s="27"/>
      <c r="K109" s="19"/>
      <c r="L109" s="27"/>
      <c r="M109" s="19"/>
      <c r="N109" s="37"/>
      <c r="O109" s="37"/>
      <c r="P109" s="83"/>
      <c r="Q109" s="27"/>
      <c r="R109" s="19"/>
      <c r="S109" s="27"/>
      <c r="T109" s="19"/>
      <c r="U109" s="37"/>
      <c r="V109" s="19"/>
      <c r="W109" s="27"/>
      <c r="X109" s="19"/>
      <c r="Y109" s="27"/>
      <c r="Z109" s="19"/>
      <c r="AA109" s="37"/>
      <c r="AB109" s="14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</row>
    <row r="110" spans="1:65" ht="15" customHeight="1" x14ac:dyDescent="0.2">
      <c r="B110" s="19" t="s">
        <v>11</v>
      </c>
      <c r="C110" s="19" t="s">
        <v>168</v>
      </c>
      <c r="D110" s="22"/>
      <c r="E110" s="22"/>
      <c r="F110" s="22"/>
      <c r="G110" s="22"/>
      <c r="H110" s="38">
        <f>H102*H41</f>
        <v>3549.0000000000014</v>
      </c>
      <c r="I110" s="22"/>
      <c r="J110" s="22"/>
      <c r="K110" s="22"/>
      <c r="L110" s="22"/>
      <c r="M110" s="22"/>
      <c r="N110" s="37"/>
      <c r="O110" s="37"/>
      <c r="P110" s="83"/>
      <c r="Q110" s="22"/>
      <c r="R110" s="22"/>
      <c r="S110" s="22"/>
      <c r="T110" s="22"/>
      <c r="U110" s="38">
        <f>U102*U41</f>
        <v>17888</v>
      </c>
      <c r="V110" s="22"/>
      <c r="W110" s="22"/>
      <c r="X110" s="22"/>
      <c r="Y110" s="22"/>
      <c r="Z110" s="22"/>
      <c r="AA110" s="37"/>
      <c r="AB110" s="14"/>
    </row>
    <row r="111" spans="1:65" s="2" customFormat="1" ht="3.95" customHeight="1" x14ac:dyDescent="0.2">
      <c r="A111" s="19"/>
      <c r="B111" s="19"/>
      <c r="C111" s="19"/>
      <c r="D111" s="22"/>
      <c r="E111" s="22"/>
      <c r="F111" s="22"/>
      <c r="G111" s="22"/>
      <c r="H111" s="14"/>
      <c r="I111" s="22"/>
      <c r="J111" s="22"/>
      <c r="K111" s="22"/>
      <c r="L111" s="22"/>
      <c r="M111" s="22"/>
      <c r="N111" s="14"/>
      <c r="O111" s="14"/>
      <c r="P111" s="79"/>
      <c r="Q111" s="22"/>
      <c r="R111" s="22"/>
      <c r="S111" s="22"/>
      <c r="T111" s="22"/>
      <c r="U111" s="14"/>
      <c r="V111" s="22"/>
      <c r="W111" s="22"/>
      <c r="X111" s="22"/>
      <c r="Y111" s="22"/>
      <c r="Z111" s="22"/>
      <c r="AA111" s="14"/>
      <c r="AB111" s="14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</row>
    <row r="112" spans="1:65" ht="15" customHeight="1" x14ac:dyDescent="0.2">
      <c r="B112" s="19" t="s">
        <v>68</v>
      </c>
      <c r="C112" s="19" t="s">
        <v>1</v>
      </c>
      <c r="D112" s="22"/>
      <c r="E112" s="22"/>
      <c r="F112" s="22"/>
      <c r="G112" s="22"/>
      <c r="H112" s="7">
        <f>H15*(H108*H110)</f>
        <v>0</v>
      </c>
      <c r="I112" s="22"/>
      <c r="J112" s="22"/>
      <c r="K112" s="22"/>
      <c r="L112" s="22"/>
      <c r="M112" s="22"/>
      <c r="N112" s="14"/>
      <c r="O112" s="14"/>
      <c r="P112" s="79"/>
      <c r="Q112" s="22"/>
      <c r="R112" s="22"/>
      <c r="S112" s="22"/>
      <c r="T112" s="22"/>
      <c r="U112" s="7">
        <f>U15*(U108*U110)</f>
        <v>0</v>
      </c>
      <c r="V112" s="22"/>
      <c r="W112" s="22"/>
      <c r="X112" s="22"/>
      <c r="Y112" s="22"/>
      <c r="Z112" s="22"/>
      <c r="AA112" s="14"/>
    </row>
    <row r="113" spans="1:65" s="2" customFormat="1" ht="3.95" customHeight="1" x14ac:dyDescent="0.2">
      <c r="A113" s="19"/>
      <c r="B113" s="19"/>
      <c r="C113" s="19"/>
      <c r="D113" s="22"/>
      <c r="E113" s="22"/>
      <c r="F113" s="22"/>
      <c r="G113" s="22"/>
      <c r="H113" s="10"/>
      <c r="I113" s="22"/>
      <c r="J113" s="22"/>
      <c r="K113" s="22"/>
      <c r="L113" s="22"/>
      <c r="M113" s="22"/>
      <c r="N113" s="10"/>
      <c r="O113" s="10"/>
      <c r="P113" s="72"/>
      <c r="Q113" s="22"/>
      <c r="R113" s="22"/>
      <c r="S113" s="22"/>
      <c r="T113" s="22"/>
      <c r="U113" s="10"/>
      <c r="V113" s="22"/>
      <c r="W113" s="22"/>
      <c r="X113" s="22"/>
      <c r="Y113" s="22"/>
      <c r="Z113" s="22"/>
      <c r="AA113" s="10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</row>
    <row r="114" spans="1:65" s="2" customFormat="1" ht="15" customHeight="1" x14ac:dyDescent="0.2">
      <c r="A114" s="19"/>
      <c r="B114" s="18" t="s">
        <v>125</v>
      </c>
      <c r="C114" s="19"/>
      <c r="D114" s="22"/>
      <c r="E114" s="22"/>
      <c r="F114" s="22"/>
      <c r="G114" s="22"/>
      <c r="H114" s="10"/>
      <c r="I114" s="22"/>
      <c r="J114" s="22"/>
      <c r="K114" s="22"/>
      <c r="L114" s="22"/>
      <c r="M114" s="22"/>
      <c r="N114" s="10"/>
      <c r="O114" s="10"/>
      <c r="P114" s="72"/>
      <c r="Q114" s="22"/>
      <c r="R114" s="22"/>
      <c r="S114" s="22"/>
      <c r="T114" s="22"/>
      <c r="U114" s="10"/>
      <c r="V114" s="22"/>
      <c r="W114" s="22"/>
      <c r="X114" s="22"/>
      <c r="Y114" s="22"/>
      <c r="Z114" s="22"/>
      <c r="AA114" s="10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</row>
    <row r="115" spans="1:65" s="2" customFormat="1" ht="3.95" customHeight="1" thickBot="1" x14ac:dyDescent="0.25">
      <c r="A115" s="19"/>
      <c r="B115" s="19"/>
      <c r="C115" s="19"/>
      <c r="D115" s="22"/>
      <c r="E115" s="22"/>
      <c r="F115" s="22"/>
      <c r="G115" s="22"/>
      <c r="H115" s="13"/>
      <c r="I115" s="22"/>
      <c r="J115" s="22"/>
      <c r="K115" s="22"/>
      <c r="L115" s="22"/>
      <c r="M115" s="22"/>
      <c r="N115" s="13"/>
      <c r="O115" s="13"/>
      <c r="P115" s="73"/>
      <c r="Q115" s="22"/>
      <c r="R115" s="22"/>
      <c r="S115" s="22"/>
      <c r="T115" s="22"/>
      <c r="U115" s="13"/>
      <c r="V115" s="22"/>
      <c r="W115" s="22"/>
      <c r="X115" s="22"/>
      <c r="Y115" s="22"/>
      <c r="Z115" s="22"/>
      <c r="AA115" s="13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</row>
    <row r="116" spans="1:65" ht="15" customHeight="1" thickTop="1" x14ac:dyDescent="0.2">
      <c r="B116" s="19" t="s">
        <v>126</v>
      </c>
      <c r="C116" s="19" t="s">
        <v>3</v>
      </c>
      <c r="D116" s="31"/>
      <c r="F116" s="22"/>
      <c r="H116" s="6">
        <f>D116</f>
        <v>0</v>
      </c>
      <c r="J116" s="22"/>
      <c r="K116" s="22"/>
      <c r="L116" s="22"/>
      <c r="M116" s="22"/>
      <c r="N116" s="13"/>
      <c r="O116" s="13"/>
      <c r="P116" s="73"/>
      <c r="Q116" s="31"/>
      <c r="S116" s="22"/>
      <c r="U116" s="6">
        <f>Q116</f>
        <v>0</v>
      </c>
      <c r="W116" s="22"/>
      <c r="X116" s="22"/>
      <c r="Y116" s="22"/>
      <c r="Z116" s="22"/>
      <c r="AA116" s="13"/>
      <c r="AB116" s="14"/>
    </row>
    <row r="117" spans="1:65" s="2" customFormat="1" ht="3.95" customHeight="1" thickBot="1" x14ac:dyDescent="0.25">
      <c r="A117" s="19"/>
      <c r="B117" s="19"/>
      <c r="C117" s="19"/>
      <c r="D117" s="22"/>
      <c r="E117" s="22"/>
      <c r="F117" s="22"/>
      <c r="G117" s="22"/>
      <c r="H117" s="13"/>
      <c r="I117" s="22"/>
      <c r="J117" s="22"/>
      <c r="K117" s="22"/>
      <c r="L117" s="22"/>
      <c r="M117" s="22"/>
      <c r="N117" s="13"/>
      <c r="O117" s="13"/>
      <c r="P117" s="73"/>
      <c r="Q117" s="22"/>
      <c r="R117" s="22"/>
      <c r="S117" s="22"/>
      <c r="T117" s="22"/>
      <c r="U117" s="13"/>
      <c r="V117" s="22"/>
      <c r="W117" s="22"/>
      <c r="X117" s="22"/>
      <c r="Y117" s="22"/>
      <c r="Z117" s="22"/>
      <c r="AA117" s="13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</row>
    <row r="118" spans="1:65" ht="15" customHeight="1" thickTop="1" x14ac:dyDescent="0.2">
      <c r="B118" s="19" t="s">
        <v>149</v>
      </c>
      <c r="C118" s="19" t="s">
        <v>150</v>
      </c>
      <c r="D118" s="31"/>
      <c r="F118" s="22"/>
      <c r="H118" s="6">
        <f>D118</f>
        <v>0</v>
      </c>
      <c r="J118" s="22"/>
      <c r="K118" s="22"/>
      <c r="L118" s="22"/>
      <c r="M118" s="22"/>
      <c r="N118" s="13"/>
      <c r="O118" s="13"/>
      <c r="P118" s="73"/>
      <c r="Q118" s="31"/>
      <c r="S118" s="22"/>
      <c r="U118" s="6">
        <f>Q118</f>
        <v>0</v>
      </c>
      <c r="W118" s="22"/>
      <c r="X118" s="22"/>
      <c r="Y118" s="22"/>
      <c r="Z118" s="22"/>
      <c r="AA118" s="13"/>
      <c r="AB118" s="14"/>
    </row>
    <row r="119" spans="1:65" ht="3.95" customHeight="1" thickBot="1" x14ac:dyDescent="0.25">
      <c r="D119" s="61"/>
      <c r="F119" s="60"/>
      <c r="H119" s="37"/>
      <c r="J119" s="22"/>
      <c r="K119" s="22"/>
      <c r="L119" s="22"/>
      <c r="M119" s="22"/>
      <c r="N119" s="13"/>
      <c r="O119" s="13"/>
      <c r="P119" s="73"/>
      <c r="Q119" s="61"/>
      <c r="S119" s="60"/>
      <c r="U119" s="37"/>
      <c r="W119" s="22"/>
      <c r="X119" s="22"/>
      <c r="Y119" s="22"/>
      <c r="Z119" s="22"/>
      <c r="AA119" s="13"/>
      <c r="AB119" s="14"/>
    </row>
    <row r="120" spans="1:65" s="2" customFormat="1" ht="15" customHeight="1" thickTop="1" x14ac:dyDescent="0.2">
      <c r="A120" s="19"/>
      <c r="B120" s="19" t="s">
        <v>127</v>
      </c>
      <c r="C120" s="19" t="s">
        <v>175</v>
      </c>
      <c r="D120" s="31"/>
      <c r="E120" s="19"/>
      <c r="F120" s="60"/>
      <c r="G120" s="19"/>
      <c r="H120" s="6">
        <f>D120</f>
        <v>0</v>
      </c>
      <c r="I120" s="19"/>
      <c r="J120" s="13"/>
      <c r="K120" s="19"/>
      <c r="L120" s="13"/>
      <c r="M120" s="19"/>
      <c r="N120" s="13"/>
      <c r="O120" s="13"/>
      <c r="P120" s="73"/>
      <c r="Q120" s="31"/>
      <c r="R120" s="19"/>
      <c r="S120" s="60"/>
      <c r="T120" s="19"/>
      <c r="U120" s="6">
        <f>Q120</f>
        <v>0</v>
      </c>
      <c r="V120" s="19"/>
      <c r="W120" s="13"/>
      <c r="X120" s="19"/>
      <c r="Y120" s="13"/>
      <c r="Z120" s="19"/>
      <c r="AA120" s="13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</row>
    <row r="121" spans="1:65" s="2" customFormat="1" ht="3.95" customHeight="1" thickBot="1" x14ac:dyDescent="0.25">
      <c r="A121" s="19"/>
      <c r="B121" s="19"/>
      <c r="C121" s="19"/>
      <c r="D121" s="22"/>
      <c r="E121" s="22"/>
      <c r="F121" s="22"/>
      <c r="G121" s="22"/>
      <c r="H121" s="13"/>
      <c r="I121" s="22"/>
      <c r="J121" s="22"/>
      <c r="K121" s="22"/>
      <c r="L121" s="22"/>
      <c r="M121" s="22"/>
      <c r="N121" s="13"/>
      <c r="O121" s="13"/>
      <c r="P121" s="73"/>
      <c r="Q121" s="22"/>
      <c r="R121" s="22"/>
      <c r="S121" s="22"/>
      <c r="T121" s="22"/>
      <c r="U121" s="13"/>
      <c r="V121" s="22"/>
      <c r="W121" s="22"/>
      <c r="X121" s="22"/>
      <c r="Y121" s="22"/>
      <c r="Z121" s="22"/>
      <c r="AA121" s="13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</row>
    <row r="122" spans="1:65" ht="15" customHeight="1" thickTop="1" x14ac:dyDescent="0.2">
      <c r="B122" s="19" t="s">
        <v>127</v>
      </c>
      <c r="C122" s="19" t="s">
        <v>16</v>
      </c>
      <c r="D122" s="31"/>
      <c r="F122" s="17" t="e">
        <f>INDEX(Lader,MATCH(D120,kW,0),1)</f>
        <v>#N/A</v>
      </c>
      <c r="H122" s="6" t="e">
        <f>IF(ISNUMBER(D122),D122,F122)</f>
        <v>#N/A</v>
      </c>
      <c r="J122" s="22"/>
      <c r="K122" s="22"/>
      <c r="L122" s="22"/>
      <c r="M122" s="22"/>
      <c r="N122" s="13"/>
      <c r="O122" s="13"/>
      <c r="P122" s="73"/>
      <c r="Q122" s="31"/>
      <c r="S122" s="17" t="e">
        <f>INDEX(Lader,MATCH(Q120,kW,0),1)</f>
        <v>#N/A</v>
      </c>
      <c r="U122" s="6" t="e">
        <f>IF(ISNUMBER(Q122),Q122,S122)</f>
        <v>#N/A</v>
      </c>
      <c r="W122" s="22"/>
      <c r="X122" s="22"/>
      <c r="Y122" s="22"/>
      <c r="Z122" s="22"/>
      <c r="AA122" s="13"/>
      <c r="AB122" s="14"/>
    </row>
    <row r="123" spans="1:65" s="2" customFormat="1" ht="3.95" customHeight="1" x14ac:dyDescent="0.2">
      <c r="A123" s="19"/>
      <c r="B123" s="19"/>
      <c r="C123" s="19"/>
      <c r="D123" s="13"/>
      <c r="E123" s="19"/>
      <c r="F123" s="13"/>
      <c r="G123" s="19"/>
      <c r="H123" s="13"/>
      <c r="I123" s="19"/>
      <c r="J123" s="13"/>
      <c r="K123" s="19"/>
      <c r="L123" s="13"/>
      <c r="M123" s="19"/>
      <c r="N123" s="13"/>
      <c r="O123" s="13"/>
      <c r="P123" s="73"/>
      <c r="Q123" s="13"/>
      <c r="R123" s="19"/>
      <c r="S123" s="13"/>
      <c r="T123" s="19"/>
      <c r="U123" s="13"/>
      <c r="V123" s="19"/>
      <c r="W123" s="13"/>
      <c r="X123" s="19"/>
      <c r="Y123" s="13"/>
      <c r="Z123" s="19"/>
      <c r="AA123" s="13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</row>
    <row r="124" spans="1:65" ht="15" customHeight="1" x14ac:dyDescent="0.2">
      <c r="B124" s="19" t="s">
        <v>127</v>
      </c>
      <c r="C124" s="19" t="s">
        <v>141</v>
      </c>
      <c r="D124" s="22"/>
      <c r="E124" s="22"/>
      <c r="F124" s="22"/>
      <c r="G124" s="22"/>
      <c r="H124" s="38" t="e">
        <f>H118*H122</f>
        <v>#N/A</v>
      </c>
      <c r="I124" s="22"/>
      <c r="J124" s="22"/>
      <c r="K124" s="22"/>
      <c r="L124" s="22"/>
      <c r="M124" s="22"/>
      <c r="N124" s="37"/>
      <c r="O124" s="37"/>
      <c r="P124" s="83"/>
      <c r="Q124" s="22"/>
      <c r="R124" s="22"/>
      <c r="S124" s="22"/>
      <c r="T124" s="22"/>
      <c r="U124" s="38" t="e">
        <f>U118*U122</f>
        <v>#N/A</v>
      </c>
      <c r="V124" s="22"/>
      <c r="W124" s="22"/>
      <c r="X124" s="22"/>
      <c r="Y124" s="22"/>
      <c r="Z124" s="22"/>
      <c r="AA124" s="37"/>
      <c r="AB124" s="14"/>
    </row>
    <row r="125" spans="1:65" s="2" customFormat="1" ht="3.95" customHeight="1" thickBot="1" x14ac:dyDescent="0.25">
      <c r="A125" s="19"/>
      <c r="B125" s="19"/>
      <c r="C125" s="19"/>
      <c r="D125" s="22"/>
      <c r="E125" s="22"/>
      <c r="F125" s="22"/>
      <c r="G125" s="22"/>
      <c r="H125" s="13"/>
      <c r="I125" s="22"/>
      <c r="J125" s="22"/>
      <c r="K125" s="22"/>
      <c r="L125" s="22"/>
      <c r="M125" s="22"/>
      <c r="N125" s="13"/>
      <c r="O125" s="13"/>
      <c r="P125" s="73"/>
      <c r="Q125" s="22"/>
      <c r="R125" s="22"/>
      <c r="S125" s="22"/>
      <c r="T125" s="22"/>
      <c r="U125" s="13"/>
      <c r="V125" s="22"/>
      <c r="W125" s="22"/>
      <c r="X125" s="22"/>
      <c r="Y125" s="22"/>
      <c r="Z125" s="22"/>
      <c r="AA125" s="13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</row>
    <row r="126" spans="1:65" ht="15" customHeight="1" thickTop="1" x14ac:dyDescent="0.2">
      <c r="B126" s="19" t="s">
        <v>140</v>
      </c>
      <c r="C126" s="19" t="s">
        <v>141</v>
      </c>
      <c r="D126" s="31"/>
      <c r="F126" s="17" t="e">
        <f>INDEX(Lader,MATCH(H120,kW,0),2)+(H118-1)*INDEX(Lader,MATCH(H120,kW,0),3)</f>
        <v>#N/A</v>
      </c>
      <c r="H126" s="6" t="e">
        <f>IF(ISNUMBER(D126),D126,F126)</f>
        <v>#N/A</v>
      </c>
      <c r="J126" s="22"/>
      <c r="K126" s="22"/>
      <c r="L126" s="22"/>
      <c r="M126" s="22"/>
      <c r="N126" s="13"/>
      <c r="O126" s="13"/>
      <c r="P126" s="73"/>
      <c r="Q126" s="31"/>
      <c r="S126" s="17" t="e">
        <f>INDEX(Lader,MATCH(U120,kW,0),2)+(U118-1)*INDEX(Lader,MATCH(U120,kW,0),3)</f>
        <v>#N/A</v>
      </c>
      <c r="U126" s="6" t="e">
        <f>IF(ISNUMBER(Q126),Q126,S126)</f>
        <v>#N/A</v>
      </c>
      <c r="W126" s="22"/>
      <c r="X126" s="22"/>
      <c r="Y126" s="22"/>
      <c r="Z126" s="22"/>
      <c r="AA126" s="13"/>
      <c r="AB126" s="14"/>
    </row>
    <row r="127" spans="1:65" s="2" customFormat="1" ht="3.95" customHeight="1" thickBot="1" x14ac:dyDescent="0.25">
      <c r="A127" s="19"/>
      <c r="B127" s="19"/>
      <c r="C127" s="19"/>
      <c r="D127" s="22"/>
      <c r="E127" s="22"/>
      <c r="F127" s="22"/>
      <c r="G127" s="22"/>
      <c r="H127" s="14"/>
      <c r="I127" s="22"/>
      <c r="J127" s="22"/>
      <c r="K127" s="22"/>
      <c r="L127" s="22"/>
      <c r="M127" s="22"/>
      <c r="N127" s="14"/>
      <c r="O127" s="14"/>
      <c r="P127" s="79"/>
      <c r="Q127" s="22"/>
      <c r="R127" s="22"/>
      <c r="S127" s="22"/>
      <c r="T127" s="22"/>
      <c r="U127" s="14"/>
      <c r="V127" s="22"/>
      <c r="W127" s="22"/>
      <c r="X127" s="22"/>
      <c r="Y127" s="22"/>
      <c r="Z127" s="22"/>
      <c r="AA127" s="14"/>
      <c r="AB127" s="14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</row>
    <row r="128" spans="1:65" ht="15" customHeight="1" thickTop="1" x14ac:dyDescent="0.2">
      <c r="B128" s="19" t="s">
        <v>28</v>
      </c>
      <c r="C128" s="19" t="s">
        <v>142</v>
      </c>
      <c r="D128" s="31"/>
      <c r="F128" s="17" t="e">
        <f>INDEX(AmpMat1,MATCH('TCO-model, flextrafik'!H120,kW,0),MATCH('TCO-model, flextrafik'!H118,LadMat1,-1))</f>
        <v>#N/A</v>
      </c>
      <c r="H128" s="6" t="e">
        <f>IF(ISNUMBER(D128),D128,F128)</f>
        <v>#N/A</v>
      </c>
      <c r="J128" s="22"/>
      <c r="K128" s="22"/>
      <c r="L128" s="22"/>
      <c r="M128" s="22"/>
      <c r="N128" s="13"/>
      <c r="O128" s="13"/>
      <c r="P128" s="73"/>
      <c r="Q128" s="31"/>
      <c r="S128" s="17" t="e">
        <f>INDEX(AmpMat2,MATCH('TCO-model, flextrafik'!U120,kW,0),MATCH('TCO-model, flextrafik'!U118,LadMat2,-1))</f>
        <v>#N/A</v>
      </c>
      <c r="U128" s="6" t="e">
        <f>IF(ISNUMBER(Q128),Q128,S128)</f>
        <v>#N/A</v>
      </c>
      <c r="W128" s="22"/>
      <c r="X128" s="22"/>
      <c r="Y128" s="22"/>
      <c r="Z128" s="22"/>
      <c r="AA128" s="13"/>
      <c r="AB128" s="14"/>
    </row>
    <row r="129" spans="1:65" s="2" customFormat="1" ht="3.95" customHeight="1" x14ac:dyDescent="0.2">
      <c r="A129" s="19"/>
      <c r="B129" s="19"/>
      <c r="C129" s="19"/>
      <c r="D129" s="13"/>
      <c r="E129" s="19"/>
      <c r="F129" s="13"/>
      <c r="G129" s="19"/>
      <c r="H129" s="13"/>
      <c r="I129" s="19"/>
      <c r="J129" s="13"/>
      <c r="K129" s="19"/>
      <c r="L129" s="13"/>
      <c r="M129" s="19"/>
      <c r="N129" s="13"/>
      <c r="O129" s="13"/>
      <c r="P129" s="73"/>
      <c r="Q129" s="13"/>
      <c r="R129" s="19"/>
      <c r="S129" s="13"/>
      <c r="T129" s="19"/>
      <c r="U129" s="13"/>
      <c r="V129" s="19"/>
      <c r="W129" s="13"/>
      <c r="X129" s="19"/>
      <c r="Y129" s="13"/>
      <c r="Z129" s="19"/>
      <c r="AA129" s="13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</row>
    <row r="130" spans="1:65" ht="15" customHeight="1" x14ac:dyDescent="0.2">
      <c r="B130" s="19" t="s">
        <v>28</v>
      </c>
      <c r="C130" s="19" t="s">
        <v>141</v>
      </c>
      <c r="D130" s="22"/>
      <c r="E130" s="22"/>
      <c r="F130" s="22"/>
      <c r="G130" s="22"/>
      <c r="H130" s="38" t="e">
        <f>1150*H128</f>
        <v>#N/A</v>
      </c>
      <c r="I130" s="22"/>
      <c r="J130" s="101"/>
      <c r="K130" s="101"/>
      <c r="L130" s="101"/>
      <c r="M130" s="101"/>
      <c r="N130" s="101"/>
      <c r="O130" s="37"/>
      <c r="P130" s="83"/>
      <c r="Q130" s="22"/>
      <c r="R130" s="22"/>
      <c r="S130" s="22"/>
      <c r="T130" s="22"/>
      <c r="U130" s="38" t="e">
        <f>1150*U128</f>
        <v>#N/A</v>
      </c>
      <c r="V130" s="22"/>
      <c r="W130" s="22"/>
      <c r="X130" s="22"/>
      <c r="Y130" s="22"/>
      <c r="Z130" s="22"/>
      <c r="AA130" s="37"/>
      <c r="AB130" s="14"/>
    </row>
    <row r="131" spans="1:65" s="2" customFormat="1" ht="3.95" customHeight="1" x14ac:dyDescent="0.2">
      <c r="A131" s="19"/>
      <c r="B131" s="19"/>
      <c r="C131" s="19"/>
      <c r="D131" s="22"/>
      <c r="E131" s="22"/>
      <c r="F131" s="22"/>
      <c r="G131" s="22"/>
      <c r="H131" s="14"/>
      <c r="I131" s="22"/>
      <c r="J131" s="101"/>
      <c r="K131" s="101"/>
      <c r="L131" s="101"/>
      <c r="M131" s="101"/>
      <c r="N131" s="101"/>
      <c r="O131" s="14"/>
      <c r="P131" s="79"/>
      <c r="Q131" s="22"/>
      <c r="R131" s="22"/>
      <c r="S131" s="22"/>
      <c r="T131" s="22"/>
      <c r="U131" s="14"/>
      <c r="V131" s="22"/>
      <c r="W131" s="22"/>
      <c r="X131" s="22"/>
      <c r="Y131" s="22"/>
      <c r="Z131" s="22"/>
      <c r="AA131" s="14"/>
      <c r="AB131" s="14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</row>
    <row r="132" spans="1:65" ht="15" customHeight="1" x14ac:dyDescent="0.2">
      <c r="B132" s="19" t="s">
        <v>143</v>
      </c>
      <c r="C132" s="19" t="s">
        <v>141</v>
      </c>
      <c r="D132" s="22"/>
      <c r="E132" s="22"/>
      <c r="F132" s="22"/>
      <c r="G132" s="22"/>
      <c r="H132" s="38" t="e">
        <f>H124+H126+H130</f>
        <v>#N/A</v>
      </c>
      <c r="I132" s="22"/>
      <c r="J132" s="101"/>
      <c r="K132" s="101"/>
      <c r="L132" s="101"/>
      <c r="M132" s="101"/>
      <c r="N132" s="101"/>
      <c r="O132" s="37"/>
      <c r="P132" s="83"/>
      <c r="Q132" s="22"/>
      <c r="R132" s="22"/>
      <c r="S132" s="22"/>
      <c r="T132" s="22"/>
      <c r="U132" s="38" t="e">
        <f>U124+U126+U130</f>
        <v>#N/A</v>
      </c>
      <c r="V132" s="22"/>
      <c r="W132" s="22"/>
      <c r="X132" s="22"/>
      <c r="Y132" s="22"/>
      <c r="Z132" s="22"/>
      <c r="AA132" s="37"/>
      <c r="AB132" s="14"/>
    </row>
    <row r="133" spans="1:65" s="2" customFormat="1" ht="3.95" customHeight="1" thickBot="1" x14ac:dyDescent="0.25">
      <c r="A133" s="19"/>
      <c r="B133" s="19"/>
      <c r="C133" s="19"/>
      <c r="D133" s="22"/>
      <c r="E133" s="22"/>
      <c r="F133" s="22"/>
      <c r="G133" s="22"/>
      <c r="H133" s="14"/>
      <c r="I133" s="22"/>
      <c r="J133" s="101"/>
      <c r="K133" s="101"/>
      <c r="L133" s="101"/>
      <c r="M133" s="101"/>
      <c r="N133" s="101"/>
      <c r="O133" s="14"/>
      <c r="P133" s="79"/>
      <c r="Q133" s="22"/>
      <c r="R133" s="22"/>
      <c r="S133" s="22"/>
      <c r="T133" s="22"/>
      <c r="U133" s="14"/>
      <c r="V133" s="22"/>
      <c r="W133" s="22"/>
      <c r="X133" s="22"/>
      <c r="Y133" s="22"/>
      <c r="Z133" s="22"/>
      <c r="AA133" s="14"/>
      <c r="AB133" s="14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</row>
    <row r="134" spans="1:65" ht="15" customHeight="1" thickTop="1" x14ac:dyDescent="0.2">
      <c r="B134" s="19" t="s">
        <v>145</v>
      </c>
      <c r="C134" s="19" t="s">
        <v>0</v>
      </c>
      <c r="D134" s="47"/>
      <c r="F134" s="40">
        <v>0.25</v>
      </c>
      <c r="H134" s="42">
        <f>IF(ISNUMBER(D134),D134,F134)</f>
        <v>0.25</v>
      </c>
      <c r="J134" s="101"/>
      <c r="K134" s="101"/>
      <c r="L134" s="101"/>
      <c r="M134" s="101"/>
      <c r="N134" s="101"/>
      <c r="O134" s="13"/>
      <c r="P134" s="73"/>
      <c r="Q134" s="47"/>
      <c r="S134" s="40">
        <v>0.25</v>
      </c>
      <c r="U134" s="42">
        <f>IF(ISNUMBER(Q134),Q134,S134)</f>
        <v>0.25</v>
      </c>
      <c r="W134" s="22"/>
      <c r="X134" s="22"/>
      <c r="Y134" s="22"/>
      <c r="Z134" s="22"/>
      <c r="AA134" s="13"/>
      <c r="AB134" s="14"/>
    </row>
    <row r="135" spans="1:65" s="2" customFormat="1" ht="3.95" customHeight="1" x14ac:dyDescent="0.2">
      <c r="A135" s="19"/>
      <c r="B135" s="19"/>
      <c r="C135" s="19"/>
      <c r="D135" s="22"/>
      <c r="E135" s="22"/>
      <c r="F135" s="22"/>
      <c r="G135" s="22"/>
      <c r="H135" s="14"/>
      <c r="I135" s="22"/>
      <c r="J135" s="101"/>
      <c r="K135" s="101"/>
      <c r="L135" s="101"/>
      <c r="M135" s="101"/>
      <c r="N135" s="101"/>
      <c r="O135" s="14"/>
      <c r="P135" s="79"/>
      <c r="Q135" s="22"/>
      <c r="R135" s="22"/>
      <c r="S135" s="22"/>
      <c r="T135" s="22"/>
      <c r="U135" s="14"/>
      <c r="V135" s="22"/>
      <c r="W135" s="22"/>
      <c r="X135" s="22"/>
      <c r="Y135" s="22"/>
      <c r="Z135" s="22"/>
      <c r="AA135" s="14"/>
      <c r="AB135" s="14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</row>
    <row r="136" spans="1:65" ht="15" customHeight="1" x14ac:dyDescent="0.2">
      <c r="B136" s="19" t="s">
        <v>145</v>
      </c>
      <c r="C136" s="19" t="s">
        <v>48</v>
      </c>
      <c r="D136" s="22"/>
      <c r="E136" s="22"/>
      <c r="F136" s="22"/>
      <c r="G136" s="22"/>
      <c r="H136" s="38" t="e">
        <f>H116*H132*H134</f>
        <v>#N/A</v>
      </c>
      <c r="I136" s="22"/>
      <c r="J136" s="101"/>
      <c r="K136" s="101"/>
      <c r="L136" s="101"/>
      <c r="M136" s="101"/>
      <c r="N136" s="101"/>
      <c r="O136" s="37"/>
      <c r="P136" s="83"/>
      <c r="Q136" s="22"/>
      <c r="R136" s="22"/>
      <c r="S136" s="22"/>
      <c r="T136" s="22"/>
      <c r="U136" s="38" t="e">
        <f>U116*U132*U134</f>
        <v>#N/A</v>
      </c>
      <c r="V136" s="22"/>
      <c r="W136" s="22"/>
      <c r="X136" s="22"/>
      <c r="Y136" s="22"/>
      <c r="Z136" s="22"/>
      <c r="AA136" s="37"/>
      <c r="AB136" s="14"/>
    </row>
    <row r="137" spans="1:65" s="2" customFormat="1" ht="3.95" customHeight="1" x14ac:dyDescent="0.2">
      <c r="A137" s="19"/>
      <c r="B137" s="19"/>
      <c r="C137" s="19"/>
      <c r="D137" s="22"/>
      <c r="E137" s="22"/>
      <c r="F137" s="22"/>
      <c r="G137" s="22"/>
      <c r="H137" s="14"/>
      <c r="I137" s="22"/>
      <c r="J137" s="101"/>
      <c r="K137" s="101"/>
      <c r="L137" s="101"/>
      <c r="M137" s="101"/>
      <c r="N137" s="101"/>
      <c r="O137" s="14"/>
      <c r="P137" s="79"/>
      <c r="Q137" s="22"/>
      <c r="R137" s="22"/>
      <c r="S137" s="22"/>
      <c r="T137" s="22"/>
      <c r="U137" s="14"/>
      <c r="V137" s="22"/>
      <c r="W137" s="22"/>
      <c r="X137" s="22"/>
      <c r="Y137" s="22"/>
      <c r="Z137" s="22"/>
      <c r="AA137" s="14"/>
      <c r="AB137" s="14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</row>
    <row r="138" spans="1:65" ht="15" customHeight="1" x14ac:dyDescent="0.2">
      <c r="B138" s="19" t="s">
        <v>144</v>
      </c>
      <c r="C138" s="19" t="s">
        <v>48</v>
      </c>
      <c r="D138" s="22"/>
      <c r="E138" s="22"/>
      <c r="F138" s="22"/>
      <c r="G138" s="22"/>
      <c r="H138" s="7">
        <f>IFERROR(H116*H132+H136,0)</f>
        <v>0</v>
      </c>
      <c r="I138" s="22"/>
      <c r="J138" s="101"/>
      <c r="K138" s="101"/>
      <c r="L138" s="101"/>
      <c r="M138" s="101"/>
      <c r="N138" s="101"/>
      <c r="O138" s="37"/>
      <c r="P138" s="83"/>
      <c r="Q138" s="22"/>
      <c r="R138" s="22"/>
      <c r="S138" s="22"/>
      <c r="T138" s="22"/>
      <c r="U138" s="7">
        <f>IFERROR(U116*U132+U136,0)</f>
        <v>0</v>
      </c>
      <c r="V138" s="22"/>
      <c r="W138" s="22"/>
      <c r="X138" s="22"/>
      <c r="Y138" s="22"/>
      <c r="Z138" s="22"/>
      <c r="AA138" s="37"/>
      <c r="AB138" s="14"/>
    </row>
    <row r="139" spans="1:65" s="2" customFormat="1" ht="3.95" customHeight="1" x14ac:dyDescent="0.2">
      <c r="A139" s="19"/>
      <c r="B139" s="19"/>
      <c r="C139" s="19"/>
      <c r="D139" s="22"/>
      <c r="E139" s="22"/>
      <c r="F139" s="22"/>
      <c r="G139" s="22"/>
      <c r="H139" s="14"/>
      <c r="I139" s="22"/>
      <c r="J139" s="22"/>
      <c r="K139" s="22"/>
      <c r="L139" s="22"/>
      <c r="M139" s="22"/>
      <c r="N139" s="14"/>
      <c r="O139" s="14"/>
      <c r="P139" s="79"/>
      <c r="Q139" s="22"/>
      <c r="R139" s="22"/>
      <c r="S139" s="22"/>
      <c r="T139" s="22"/>
      <c r="U139" s="14"/>
      <c r="V139" s="22"/>
      <c r="W139" s="22"/>
      <c r="X139" s="22"/>
      <c r="Y139" s="22"/>
      <c r="Z139" s="22"/>
      <c r="AA139" s="14"/>
      <c r="AB139" s="14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</row>
    <row r="140" spans="1:65" ht="15" customHeight="1" thickBot="1" x14ac:dyDescent="0.25">
      <c r="B140" s="18" t="s">
        <v>14</v>
      </c>
      <c r="D140" s="22"/>
      <c r="F140" s="22"/>
      <c r="H140" s="22"/>
      <c r="J140" s="22"/>
      <c r="L140" s="22"/>
      <c r="N140" s="22"/>
      <c r="Q140" s="22"/>
      <c r="S140" s="22"/>
      <c r="U140" s="22"/>
      <c r="W140" s="22"/>
      <c r="Y140" s="22"/>
      <c r="AA140" s="22"/>
    </row>
    <row r="141" spans="1:65" ht="15" customHeight="1" thickTop="1" x14ac:dyDescent="0.2">
      <c r="B141" s="19" t="s">
        <v>69</v>
      </c>
      <c r="C141" s="19" t="s">
        <v>6</v>
      </c>
      <c r="D141" s="22"/>
      <c r="E141" s="22"/>
      <c r="F141" s="22"/>
      <c r="G141" s="22"/>
      <c r="H141" s="22"/>
      <c r="I141" s="22"/>
      <c r="J141" s="56"/>
      <c r="L141" s="45">
        <v>12.5</v>
      </c>
      <c r="N141" s="36">
        <f>IF(ISNUMBER(J141),J141,L141)</f>
        <v>12.5</v>
      </c>
      <c r="O141" s="37"/>
      <c r="P141" s="83"/>
      <c r="Q141" s="56"/>
      <c r="S141" s="45">
        <v>12.5</v>
      </c>
      <c r="U141" s="36">
        <f>IF(ISNUMBER(Q141),Q141,S141)</f>
        <v>12.5</v>
      </c>
      <c r="V141" s="22"/>
      <c r="W141" s="56"/>
      <c r="Y141" s="45">
        <v>12.5</v>
      </c>
      <c r="AA141" s="36">
        <f>IF(ISNUMBER(W141),W141,Y141)</f>
        <v>12.5</v>
      </c>
    </row>
    <row r="142" spans="1:65" s="2" customFormat="1" ht="3.95" customHeight="1" thickBot="1" x14ac:dyDescent="0.25">
      <c r="A142" s="19"/>
      <c r="B142" s="19"/>
      <c r="C142" s="19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81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</row>
    <row r="143" spans="1:65" ht="15" customHeight="1" thickTop="1" x14ac:dyDescent="0.2">
      <c r="B143" s="19" t="s">
        <v>43</v>
      </c>
      <c r="C143" s="19" t="s">
        <v>6</v>
      </c>
      <c r="D143" s="22"/>
      <c r="E143" s="22"/>
      <c r="F143" s="22"/>
      <c r="G143" s="22"/>
      <c r="H143" s="22"/>
      <c r="I143" s="22"/>
      <c r="J143" s="56"/>
      <c r="L143" s="45">
        <v>1</v>
      </c>
      <c r="N143" s="36">
        <f>IF(ISNUMBER(J143),J143,L143)</f>
        <v>1</v>
      </c>
      <c r="O143" s="37"/>
      <c r="P143" s="83"/>
      <c r="Q143" s="56"/>
      <c r="S143" s="45">
        <v>1</v>
      </c>
      <c r="U143" s="36">
        <f>IF(ISNUMBER(Q143),Q143,S143)</f>
        <v>1</v>
      </c>
      <c r="V143" s="22"/>
      <c r="W143" s="56"/>
      <c r="Y143" s="45">
        <v>1</v>
      </c>
      <c r="AA143" s="36">
        <f>IF(ISNUMBER(W143),W143,Y143)</f>
        <v>1</v>
      </c>
    </row>
    <row r="144" spans="1:65" s="2" customFormat="1" ht="3.95" customHeight="1" x14ac:dyDescent="0.2">
      <c r="A144" s="19"/>
      <c r="B144" s="19"/>
      <c r="C144" s="19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81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</row>
    <row r="145" spans="1:65" ht="15" customHeight="1" x14ac:dyDescent="0.2">
      <c r="B145" s="19" t="s">
        <v>70</v>
      </c>
      <c r="C145" s="19" t="s">
        <v>167</v>
      </c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33">
        <f>N45*(N141-N143)</f>
        <v>82577.225130890045</v>
      </c>
      <c r="O145" s="10"/>
      <c r="P145" s="72"/>
      <c r="Q145" s="100" t="s">
        <v>177</v>
      </c>
      <c r="R145" s="100"/>
      <c r="S145" s="100"/>
      <c r="T145" s="22"/>
      <c r="U145" s="22"/>
      <c r="V145" s="22"/>
      <c r="W145" s="22"/>
      <c r="X145" s="22"/>
      <c r="Y145" s="22"/>
      <c r="Z145" s="22"/>
      <c r="AA145" s="33">
        <f>AA45*(AA141-AA143)</f>
        <v>157722.5</v>
      </c>
    </row>
    <row r="146" spans="1:65" s="2" customFormat="1" ht="3.95" customHeight="1" x14ac:dyDescent="0.2">
      <c r="A146" s="19"/>
      <c r="B146" s="19"/>
      <c r="C146" s="19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81"/>
      <c r="Q146" s="100"/>
      <c r="R146" s="100"/>
      <c r="S146" s="100"/>
      <c r="T146" s="22"/>
      <c r="U146" s="22"/>
      <c r="V146" s="22"/>
      <c r="W146" s="22"/>
      <c r="X146" s="22"/>
      <c r="Y146" s="22"/>
      <c r="Z146" s="22"/>
      <c r="AA146" s="22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</row>
    <row r="147" spans="1:65" ht="15" customHeight="1" x14ac:dyDescent="0.2">
      <c r="B147" s="19" t="s">
        <v>71</v>
      </c>
      <c r="C147" s="19" t="s">
        <v>167</v>
      </c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Q147" s="100"/>
      <c r="R147" s="100"/>
      <c r="S147" s="100"/>
      <c r="T147" s="22"/>
      <c r="U147" s="38">
        <f>U49*(U141-U143)</f>
        <v>2522.8125</v>
      </c>
      <c r="V147" s="22"/>
      <c r="W147" s="22"/>
      <c r="X147" s="22"/>
      <c r="Y147" s="22"/>
      <c r="Z147" s="22"/>
      <c r="AA147" s="22"/>
    </row>
    <row r="148" spans="1:65" s="2" customFormat="1" ht="3.95" customHeight="1" x14ac:dyDescent="0.2">
      <c r="A148" s="19"/>
      <c r="B148" s="19"/>
      <c r="C148" s="19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81"/>
      <c r="Q148" s="100"/>
      <c r="R148" s="100"/>
      <c r="S148" s="100"/>
      <c r="T148" s="22"/>
      <c r="U148" s="22"/>
      <c r="V148" s="22"/>
      <c r="W148" s="22"/>
      <c r="X148" s="22"/>
      <c r="Y148" s="22"/>
      <c r="Z148" s="22"/>
      <c r="AA148" s="22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</row>
    <row r="149" spans="1:65" ht="15" customHeight="1" x14ac:dyDescent="0.2">
      <c r="B149" s="19" t="s">
        <v>72</v>
      </c>
      <c r="C149" s="19" t="s">
        <v>1</v>
      </c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7">
        <f>H15*(N145+N147)</f>
        <v>0</v>
      </c>
      <c r="O149" s="10"/>
      <c r="P149" s="72"/>
      <c r="Q149" s="100"/>
      <c r="R149" s="100"/>
      <c r="S149" s="100"/>
      <c r="T149" s="22"/>
      <c r="U149" s="7">
        <f>U15*(U145+U147)</f>
        <v>0</v>
      </c>
      <c r="V149" s="22"/>
      <c r="W149" s="22"/>
      <c r="X149" s="22"/>
      <c r="Y149" s="22"/>
      <c r="Z149" s="22"/>
      <c r="AA149" s="7">
        <f>U15*(AA145+AA147)</f>
        <v>0</v>
      </c>
    </row>
    <row r="150" spans="1:65" s="2" customFormat="1" ht="3.95" customHeight="1" x14ac:dyDescent="0.2">
      <c r="A150" s="19"/>
      <c r="B150" s="19"/>
      <c r="C150" s="19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81"/>
      <c r="Q150" s="100"/>
      <c r="R150" s="100"/>
      <c r="S150" s="100"/>
      <c r="T150" s="22"/>
      <c r="U150" s="22"/>
      <c r="V150" s="22"/>
      <c r="W150" s="22"/>
      <c r="X150" s="22"/>
      <c r="Y150" s="22"/>
      <c r="Z150" s="22"/>
      <c r="AA150" s="22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</row>
    <row r="151" spans="1:65" ht="15" customHeight="1" thickBot="1" x14ac:dyDescent="0.25">
      <c r="B151" s="18" t="s">
        <v>10</v>
      </c>
      <c r="D151" s="22"/>
      <c r="F151" s="22"/>
      <c r="H151" s="22"/>
      <c r="J151" s="22"/>
      <c r="L151" s="22"/>
      <c r="N151" s="22"/>
      <c r="Q151" s="100"/>
      <c r="R151" s="100"/>
      <c r="S151" s="100"/>
      <c r="U151" s="22"/>
      <c r="W151" s="22"/>
      <c r="Y151" s="22"/>
      <c r="AA151" s="22"/>
      <c r="AB151" s="58"/>
    </row>
    <row r="152" spans="1:65" ht="15" customHeight="1" thickTop="1" x14ac:dyDescent="0.2">
      <c r="B152" s="19" t="s">
        <v>8</v>
      </c>
      <c r="C152" s="19" t="s">
        <v>6</v>
      </c>
      <c r="D152" s="22"/>
      <c r="E152" s="22"/>
      <c r="F152" s="22"/>
      <c r="G152" s="22"/>
      <c r="H152" s="22"/>
      <c r="I152" s="22"/>
      <c r="J152" s="56"/>
      <c r="L152" s="45">
        <v>4.4000000000000004</v>
      </c>
      <c r="M152" s="22"/>
      <c r="N152" s="36">
        <f>IF(ISNUMBER(J152),J152,L152)</f>
        <v>4.4000000000000004</v>
      </c>
      <c r="O152" s="37"/>
      <c r="P152" s="83"/>
      <c r="Q152" s="100"/>
      <c r="R152" s="100"/>
      <c r="S152" s="100"/>
      <c r="T152" s="22"/>
      <c r="U152" s="22"/>
      <c r="V152" s="22"/>
      <c r="W152" s="56"/>
      <c r="Y152" s="45">
        <v>4.4000000000000004</v>
      </c>
      <c r="Z152" s="22"/>
      <c r="AA152" s="36">
        <f>IF(ISNUMBER(W152),W152,Y152)</f>
        <v>4.4000000000000004</v>
      </c>
    </row>
    <row r="153" spans="1:65" s="2" customFormat="1" ht="3.95" customHeight="1" thickBot="1" x14ac:dyDescent="0.25">
      <c r="A153" s="19"/>
      <c r="B153" s="19"/>
      <c r="C153" s="19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81"/>
      <c r="Q153" s="100"/>
      <c r="R153" s="100"/>
      <c r="S153" s="100"/>
      <c r="T153" s="22"/>
      <c r="U153" s="22"/>
      <c r="V153" s="22"/>
      <c r="W153" s="22"/>
      <c r="X153" s="22"/>
      <c r="Y153" s="22"/>
      <c r="Z153" s="22"/>
      <c r="AA153" s="22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</row>
    <row r="154" spans="1:65" ht="15" customHeight="1" thickTop="1" x14ac:dyDescent="0.2">
      <c r="B154" s="19" t="s">
        <v>18</v>
      </c>
      <c r="C154" s="19" t="s">
        <v>0</v>
      </c>
      <c r="D154" s="22"/>
      <c r="E154" s="22"/>
      <c r="F154" s="22"/>
      <c r="G154" s="22"/>
      <c r="H154" s="22"/>
      <c r="I154" s="22"/>
      <c r="J154" s="47"/>
      <c r="L154" s="41">
        <v>7.0000000000000007E-2</v>
      </c>
      <c r="M154" s="22"/>
      <c r="N154" s="42">
        <f>IF(ISNUMBER(J154),J154,L154)</f>
        <v>7.0000000000000007E-2</v>
      </c>
      <c r="O154" s="49"/>
      <c r="P154" s="76"/>
      <c r="Q154" s="100"/>
      <c r="R154" s="100"/>
      <c r="S154" s="100"/>
      <c r="T154" s="22"/>
      <c r="U154" s="22"/>
      <c r="V154" s="22"/>
      <c r="W154" s="47"/>
      <c r="Y154" s="41">
        <v>7.0000000000000007E-2</v>
      </c>
      <c r="Z154" s="22"/>
      <c r="AA154" s="42">
        <f>IF(ISNUMBER(W154),W154,Y154)</f>
        <v>7.0000000000000007E-2</v>
      </c>
    </row>
    <row r="155" spans="1:65" s="19" customFormat="1" ht="3.95" customHeight="1" x14ac:dyDescent="0.2">
      <c r="D155" s="22"/>
      <c r="E155" s="22"/>
      <c r="F155" s="22"/>
      <c r="G155" s="22"/>
      <c r="H155" s="22"/>
      <c r="I155" s="22"/>
      <c r="J155" s="50"/>
      <c r="L155" s="49"/>
      <c r="M155" s="22"/>
      <c r="N155" s="49"/>
      <c r="O155" s="49"/>
      <c r="P155" s="76"/>
      <c r="Q155" s="100"/>
      <c r="R155" s="100"/>
      <c r="S155" s="100"/>
      <c r="T155" s="22"/>
      <c r="U155" s="22"/>
      <c r="V155" s="22"/>
      <c r="W155" s="50"/>
      <c r="Y155" s="49"/>
      <c r="Z155" s="22"/>
      <c r="AA155" s="49"/>
    </row>
    <row r="156" spans="1:65" ht="15" customHeight="1" x14ac:dyDescent="0.2">
      <c r="B156" s="19" t="s">
        <v>8</v>
      </c>
      <c r="C156" s="19" t="s">
        <v>169</v>
      </c>
      <c r="D156" s="22"/>
      <c r="E156" s="22"/>
      <c r="F156" s="22"/>
      <c r="G156" s="22"/>
      <c r="H156" s="28"/>
      <c r="I156" s="22"/>
      <c r="J156" s="22"/>
      <c r="K156" s="22"/>
      <c r="L156" s="22"/>
      <c r="M156" s="22"/>
      <c r="N156" s="33">
        <f>N154*N45</f>
        <v>502.64397905759165</v>
      </c>
      <c r="O156" s="10"/>
      <c r="P156" s="72"/>
      <c r="Q156" s="100"/>
      <c r="R156" s="100"/>
      <c r="S156" s="100"/>
      <c r="T156" s="22"/>
      <c r="U156" s="28"/>
      <c r="V156" s="22"/>
      <c r="W156" s="22"/>
      <c r="X156" s="22"/>
      <c r="Y156" s="22"/>
      <c r="Z156" s="22"/>
      <c r="AA156" s="33">
        <f>AA154*AA45</f>
        <v>960.05000000000007</v>
      </c>
    </row>
    <row r="157" spans="1:65" s="2" customFormat="1" ht="3.95" customHeight="1" x14ac:dyDescent="0.2">
      <c r="A157" s="19"/>
      <c r="B157" s="19"/>
      <c r="C157" s="19"/>
      <c r="D157" s="22"/>
      <c r="E157" s="22"/>
      <c r="F157" s="22"/>
      <c r="G157" s="22"/>
      <c r="H157" s="28"/>
      <c r="I157" s="22"/>
      <c r="J157" s="22"/>
      <c r="K157" s="22"/>
      <c r="L157" s="22"/>
      <c r="M157" s="22"/>
      <c r="N157" s="12"/>
      <c r="O157" s="12"/>
      <c r="P157" s="77"/>
      <c r="Q157" s="22"/>
      <c r="R157" s="22"/>
      <c r="S157" s="22"/>
      <c r="T157" s="22"/>
      <c r="U157" s="28"/>
      <c r="V157" s="22"/>
      <c r="W157" s="22"/>
      <c r="X157" s="22"/>
      <c r="Y157" s="22"/>
      <c r="Z157" s="22"/>
      <c r="AA157" s="12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</row>
    <row r="158" spans="1:65" ht="15" customHeight="1" x14ac:dyDescent="0.2">
      <c r="B158" s="19" t="s">
        <v>73</v>
      </c>
      <c r="C158" s="19" t="s">
        <v>1</v>
      </c>
      <c r="D158" s="22"/>
      <c r="E158" s="22"/>
      <c r="F158" s="22"/>
      <c r="G158" s="22"/>
      <c r="H158" s="28"/>
      <c r="I158" s="22"/>
      <c r="J158" s="22"/>
      <c r="K158" s="22"/>
      <c r="L158" s="22"/>
      <c r="M158" s="22"/>
      <c r="N158" s="7">
        <f>H15*(N156*N152)</f>
        <v>0</v>
      </c>
      <c r="O158" s="10"/>
      <c r="P158" s="72"/>
      <c r="Q158" s="22"/>
      <c r="R158" s="22"/>
      <c r="S158" s="22"/>
      <c r="T158" s="22"/>
      <c r="U158" s="28"/>
      <c r="V158" s="22"/>
      <c r="W158" s="22"/>
      <c r="X158" s="22"/>
      <c r="Y158" s="22"/>
      <c r="Z158" s="22"/>
      <c r="AA158" s="7">
        <f>U15*(AA156*AA152)</f>
        <v>0</v>
      </c>
    </row>
    <row r="159" spans="1:65" s="2" customFormat="1" ht="3.95" customHeight="1" x14ac:dyDescent="0.2">
      <c r="A159" s="19"/>
      <c r="B159" s="19"/>
      <c r="C159" s="19"/>
      <c r="D159" s="22"/>
      <c r="E159" s="22"/>
      <c r="F159" s="22"/>
      <c r="G159" s="22"/>
      <c r="H159" s="28"/>
      <c r="I159" s="22"/>
      <c r="J159" s="22"/>
      <c r="K159" s="22"/>
      <c r="L159" s="22"/>
      <c r="M159" s="22"/>
      <c r="N159" s="28"/>
      <c r="O159" s="28"/>
      <c r="P159" s="84"/>
      <c r="Q159" s="22"/>
      <c r="R159" s="22"/>
      <c r="S159" s="22"/>
      <c r="T159" s="22"/>
      <c r="U159" s="28"/>
      <c r="V159" s="22"/>
      <c r="W159" s="22"/>
      <c r="X159" s="22"/>
      <c r="Y159" s="22"/>
      <c r="Z159" s="22"/>
      <c r="AA159" s="28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</row>
    <row r="160" spans="1:65" ht="15" customHeight="1" thickBot="1" x14ac:dyDescent="0.25">
      <c r="B160" s="18" t="s">
        <v>91</v>
      </c>
      <c r="D160" s="28"/>
      <c r="F160" s="28"/>
      <c r="H160" s="28"/>
      <c r="J160" s="28"/>
      <c r="L160" s="28"/>
      <c r="N160" s="28"/>
      <c r="O160" s="28"/>
      <c r="P160" s="84"/>
      <c r="Q160" s="28"/>
      <c r="S160" s="28"/>
      <c r="U160" s="28"/>
      <c r="W160" s="28"/>
      <c r="Y160" s="28"/>
      <c r="AA160" s="28"/>
    </row>
    <row r="161" spans="1:65" ht="15" customHeight="1" thickTop="1" x14ac:dyDescent="0.2">
      <c r="B161" s="19" t="s">
        <v>92</v>
      </c>
      <c r="C161" s="19" t="s">
        <v>48</v>
      </c>
      <c r="D161" s="31"/>
      <c r="F161" s="17">
        <v>0</v>
      </c>
      <c r="H161" s="6">
        <f>IF(ISNUMBER(D161),D161,F161)</f>
        <v>0</v>
      </c>
      <c r="J161" s="28"/>
      <c r="L161" s="28"/>
      <c r="N161" s="28"/>
      <c r="O161" s="28"/>
      <c r="P161" s="84"/>
      <c r="Q161" s="31"/>
      <c r="S161" s="17">
        <v>0</v>
      </c>
      <c r="U161" s="6">
        <f>IF(ISNUMBER(Q161),Q161,S161)</f>
        <v>0</v>
      </c>
      <c r="W161" s="28"/>
      <c r="Y161" s="28"/>
      <c r="AA161" s="28"/>
    </row>
    <row r="162" spans="1:65" s="2" customFormat="1" ht="3.95" customHeight="1" x14ac:dyDescent="0.2">
      <c r="A162" s="19"/>
      <c r="B162" s="19"/>
      <c r="C162" s="19"/>
      <c r="D162" s="27"/>
      <c r="E162" s="19"/>
      <c r="F162" s="27"/>
      <c r="G162" s="19"/>
      <c r="H162" s="10"/>
      <c r="I162" s="19"/>
      <c r="J162" s="27"/>
      <c r="K162" s="19"/>
      <c r="L162" s="27"/>
      <c r="M162" s="19"/>
      <c r="N162" s="10"/>
      <c r="O162" s="10"/>
      <c r="P162" s="72"/>
      <c r="Q162" s="27"/>
      <c r="R162" s="19"/>
      <c r="S162" s="27"/>
      <c r="T162" s="19"/>
      <c r="U162" s="10"/>
      <c r="V162" s="19"/>
      <c r="W162" s="27"/>
      <c r="X162" s="19"/>
      <c r="Y162" s="27"/>
      <c r="Z162" s="19"/>
      <c r="AA162" s="10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</row>
    <row r="163" spans="1:65" ht="15" customHeight="1" x14ac:dyDescent="0.2">
      <c r="B163" s="19" t="s">
        <v>93</v>
      </c>
      <c r="C163" s="19" t="s">
        <v>167</v>
      </c>
      <c r="D163" s="22"/>
      <c r="E163" s="22"/>
      <c r="F163" s="22"/>
      <c r="G163" s="22"/>
      <c r="H163" s="7">
        <f>H15*H161/H28</f>
        <v>0</v>
      </c>
      <c r="I163" s="22"/>
      <c r="J163" s="22"/>
      <c r="K163" s="22"/>
      <c r="L163" s="22"/>
      <c r="M163" s="22"/>
      <c r="N163" s="10"/>
      <c r="O163" s="10"/>
      <c r="P163" s="72"/>
      <c r="Q163" s="22"/>
      <c r="R163" s="22"/>
      <c r="S163" s="22"/>
      <c r="T163" s="22"/>
      <c r="U163" s="7">
        <f>U15*U161/U28</f>
        <v>0</v>
      </c>
      <c r="V163" s="22"/>
      <c r="W163" s="22"/>
      <c r="X163" s="22"/>
      <c r="Y163" s="22"/>
      <c r="Z163" s="22"/>
      <c r="AA163" s="10"/>
    </row>
    <row r="164" spans="1:65" s="2" customFormat="1" ht="3.95" customHeight="1" x14ac:dyDescent="0.2">
      <c r="A164" s="19"/>
      <c r="B164" s="19"/>
      <c r="C164" s="19"/>
      <c r="D164" s="22"/>
      <c r="E164" s="22"/>
      <c r="F164" s="22"/>
      <c r="G164" s="22"/>
      <c r="H164" s="10"/>
      <c r="I164" s="22"/>
      <c r="J164" s="22"/>
      <c r="K164" s="22"/>
      <c r="L164" s="22"/>
      <c r="M164" s="22"/>
      <c r="N164" s="10"/>
      <c r="O164" s="10"/>
      <c r="P164" s="72"/>
      <c r="Q164" s="22"/>
      <c r="R164" s="22"/>
      <c r="S164" s="22"/>
      <c r="T164" s="22"/>
      <c r="U164" s="10"/>
      <c r="V164" s="22"/>
      <c r="W164" s="22"/>
      <c r="X164" s="22"/>
      <c r="Y164" s="22"/>
      <c r="Z164" s="22"/>
      <c r="AA164" s="10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</row>
    <row r="165" spans="1:65" ht="15" customHeight="1" thickBot="1" x14ac:dyDescent="0.25">
      <c r="B165" s="18" t="s">
        <v>4</v>
      </c>
      <c r="D165" s="22"/>
      <c r="F165" s="22"/>
      <c r="H165" s="22"/>
      <c r="J165" s="22"/>
      <c r="L165" s="22"/>
      <c r="N165" s="22"/>
      <c r="Q165" s="22"/>
      <c r="S165" s="22"/>
      <c r="U165" s="22"/>
      <c r="W165" s="22"/>
      <c r="Y165" s="22"/>
      <c r="AA165" s="22"/>
    </row>
    <row r="166" spans="1:65" ht="15" customHeight="1" thickTop="1" x14ac:dyDescent="0.2">
      <c r="B166" s="19" t="s">
        <v>85</v>
      </c>
      <c r="C166" s="19" t="s">
        <v>2</v>
      </c>
      <c r="D166" s="31"/>
      <c r="F166" s="17">
        <v>60000</v>
      </c>
      <c r="H166" s="6">
        <f>IF(ISNUMBER(D166),D166,F166)</f>
        <v>60000</v>
      </c>
      <c r="J166" s="31"/>
      <c r="L166" s="17">
        <v>60000</v>
      </c>
      <c r="N166" s="6">
        <f>IF(ISNUMBER(J166),J166,L166)</f>
        <v>60000</v>
      </c>
      <c r="O166" s="10"/>
      <c r="P166" s="72"/>
      <c r="Q166" s="31"/>
      <c r="S166" s="17">
        <v>40000</v>
      </c>
      <c r="U166" s="6">
        <f>IF(ISNUMBER(Q166),Q166,S166)</f>
        <v>40000</v>
      </c>
      <c r="W166" s="31"/>
      <c r="Y166" s="17">
        <v>50000</v>
      </c>
      <c r="AA166" s="6">
        <f>IF(ISNUMBER(W166),W166,Y166)</f>
        <v>50000</v>
      </c>
    </row>
    <row r="167" spans="1:65" s="2" customFormat="1" ht="3.95" customHeight="1" thickBot="1" x14ac:dyDescent="0.25">
      <c r="A167" s="19"/>
      <c r="B167" s="19"/>
      <c r="C167" s="19"/>
      <c r="D167" s="29"/>
      <c r="E167" s="19"/>
      <c r="F167" s="29"/>
      <c r="G167" s="19"/>
      <c r="H167" s="10"/>
      <c r="I167" s="19"/>
      <c r="J167" s="29"/>
      <c r="K167" s="19"/>
      <c r="L167" s="29"/>
      <c r="M167" s="19"/>
      <c r="N167" s="10"/>
      <c r="O167" s="10"/>
      <c r="P167" s="72"/>
      <c r="Q167" s="29"/>
      <c r="R167" s="19"/>
      <c r="S167" s="29"/>
      <c r="T167" s="19"/>
      <c r="U167" s="10"/>
      <c r="V167" s="19"/>
      <c r="W167" s="29"/>
      <c r="X167" s="19"/>
      <c r="Y167" s="29"/>
      <c r="Z167" s="19"/>
      <c r="AA167" s="10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</row>
    <row r="168" spans="1:65" ht="15" customHeight="1" thickTop="1" x14ac:dyDescent="0.2">
      <c r="B168" s="19" t="s">
        <v>84</v>
      </c>
      <c r="C168" s="19" t="s">
        <v>16</v>
      </c>
      <c r="D168" s="31"/>
      <c r="F168" s="17">
        <v>1000</v>
      </c>
      <c r="H168" s="6">
        <f>IF(ISNUMBER(D168),D168,F168)</f>
        <v>1000</v>
      </c>
      <c r="J168" s="31"/>
      <c r="L168" s="17">
        <v>1000</v>
      </c>
      <c r="N168" s="6">
        <f>IF(ISNUMBER(J168),J168,L168)</f>
        <v>1000</v>
      </c>
      <c r="O168" s="10"/>
      <c r="P168" s="72"/>
      <c r="Q168" s="31"/>
      <c r="S168" s="17">
        <v>1300</v>
      </c>
      <c r="U168" s="6">
        <f>IF(ISNUMBER(Q168),Q168,S168)</f>
        <v>1300</v>
      </c>
      <c r="W168" s="31"/>
      <c r="Y168" s="17">
        <v>1300</v>
      </c>
      <c r="AA168" s="6">
        <f>IF(ISNUMBER(W168),W168,Y168)</f>
        <v>1300</v>
      </c>
    </row>
    <row r="169" spans="1:65" s="2" customFormat="1" ht="3.95" customHeight="1" thickBot="1" x14ac:dyDescent="0.25">
      <c r="A169" s="19"/>
      <c r="B169" s="19"/>
      <c r="C169" s="19"/>
      <c r="D169" s="29"/>
      <c r="E169" s="19"/>
      <c r="F169" s="29"/>
      <c r="G169" s="19"/>
      <c r="H169" s="10"/>
      <c r="I169" s="19"/>
      <c r="J169" s="29"/>
      <c r="K169" s="19"/>
      <c r="L169" s="29"/>
      <c r="M169" s="19"/>
      <c r="N169" s="10"/>
      <c r="O169" s="10"/>
      <c r="P169" s="72"/>
      <c r="Q169" s="29"/>
      <c r="R169" s="19"/>
      <c r="S169" s="29"/>
      <c r="T169" s="19"/>
      <c r="U169" s="10"/>
      <c r="V169" s="19"/>
      <c r="W169" s="29"/>
      <c r="X169" s="19"/>
      <c r="Y169" s="29"/>
      <c r="Z169" s="19"/>
      <c r="AA169" s="10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</row>
    <row r="170" spans="1:65" ht="15" customHeight="1" thickTop="1" x14ac:dyDescent="0.2">
      <c r="B170" s="19" t="s">
        <v>74</v>
      </c>
      <c r="C170" s="19" t="s">
        <v>3</v>
      </c>
      <c r="D170" s="31"/>
      <c r="F170" s="17">
        <v>4</v>
      </c>
      <c r="H170" s="6">
        <f>IF(ISNUMBER(D170),D170,F170)</f>
        <v>4</v>
      </c>
      <c r="J170" s="31"/>
      <c r="L170" s="17">
        <v>4</v>
      </c>
      <c r="N170" s="6">
        <f>IF(ISNUMBER(J170),J170,L170)</f>
        <v>4</v>
      </c>
      <c r="O170" s="10"/>
      <c r="P170" s="72"/>
      <c r="Q170" s="31"/>
      <c r="S170" s="17">
        <v>4</v>
      </c>
      <c r="U170" s="6">
        <f>IF(ISNUMBER(Q170),Q170,S170)</f>
        <v>4</v>
      </c>
      <c r="W170" s="31"/>
      <c r="Y170" s="17">
        <v>4</v>
      </c>
      <c r="AA170" s="6">
        <f>IF(ISNUMBER(W170),W170,Y170)</f>
        <v>4</v>
      </c>
    </row>
    <row r="171" spans="1:65" s="2" customFormat="1" ht="3.95" customHeight="1" x14ac:dyDescent="0.2">
      <c r="A171" s="19"/>
      <c r="B171" s="19"/>
      <c r="C171" s="19"/>
      <c r="D171" s="29"/>
      <c r="E171" s="19"/>
      <c r="F171" s="29"/>
      <c r="G171" s="19"/>
      <c r="H171" s="10"/>
      <c r="I171" s="19"/>
      <c r="J171" s="29"/>
      <c r="K171" s="19"/>
      <c r="L171" s="29"/>
      <c r="M171" s="19"/>
      <c r="N171" s="10"/>
      <c r="O171" s="10"/>
      <c r="P171" s="72"/>
      <c r="Q171" s="29"/>
      <c r="R171" s="19"/>
      <c r="S171" s="29"/>
      <c r="T171" s="19"/>
      <c r="U171" s="10"/>
      <c r="V171" s="19"/>
      <c r="W171" s="29"/>
      <c r="X171" s="19"/>
      <c r="Y171" s="29"/>
      <c r="Z171" s="19"/>
      <c r="AA171" s="10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</row>
    <row r="172" spans="1:65" ht="15" customHeight="1" x14ac:dyDescent="0.2">
      <c r="B172" s="19" t="s">
        <v>75</v>
      </c>
      <c r="C172" s="19" t="s">
        <v>170</v>
      </c>
      <c r="D172" s="22"/>
      <c r="E172" s="22"/>
      <c r="F172" s="22"/>
      <c r="G172" s="22"/>
      <c r="H172" s="34">
        <f>$H9/H166*H170</f>
        <v>9.1433333333333326</v>
      </c>
      <c r="I172" s="22"/>
      <c r="J172" s="22"/>
      <c r="K172" s="22"/>
      <c r="L172" s="22"/>
      <c r="M172" s="22"/>
      <c r="N172" s="34">
        <f>$H9/N166*N170</f>
        <v>9.1433333333333326</v>
      </c>
      <c r="O172" s="13"/>
      <c r="P172" s="73"/>
      <c r="Q172" s="22"/>
      <c r="R172" s="22"/>
      <c r="S172" s="22"/>
      <c r="T172" s="22"/>
      <c r="U172" s="34">
        <f>$U9/U166*U170</f>
        <v>13.715</v>
      </c>
      <c r="V172" s="22"/>
      <c r="W172" s="22"/>
      <c r="X172" s="22"/>
      <c r="Y172" s="22"/>
      <c r="Z172" s="22"/>
      <c r="AA172" s="34">
        <f>$U9/AA166*AA170</f>
        <v>10.972</v>
      </c>
    </row>
    <row r="173" spans="1:65" s="2" customFormat="1" ht="3.95" customHeight="1" x14ac:dyDescent="0.2">
      <c r="A173" s="19"/>
      <c r="B173" s="19"/>
      <c r="C173" s="19"/>
      <c r="D173" s="22"/>
      <c r="E173" s="22"/>
      <c r="F173" s="22"/>
      <c r="G173" s="22"/>
      <c r="H173" s="15"/>
      <c r="I173" s="22"/>
      <c r="J173" s="22"/>
      <c r="K173" s="22"/>
      <c r="L173" s="22"/>
      <c r="M173" s="22"/>
      <c r="N173" s="15"/>
      <c r="O173" s="15"/>
      <c r="P173" s="85"/>
      <c r="Q173" s="22"/>
      <c r="R173" s="22"/>
      <c r="S173" s="22"/>
      <c r="T173" s="22"/>
      <c r="U173" s="15"/>
      <c r="V173" s="22"/>
      <c r="W173" s="22"/>
      <c r="X173" s="22"/>
      <c r="Y173" s="22"/>
      <c r="Z173" s="22"/>
      <c r="AA173" s="15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</row>
    <row r="174" spans="1:65" ht="15" customHeight="1" x14ac:dyDescent="0.2">
      <c r="B174" s="19" t="s">
        <v>76</v>
      </c>
      <c r="C174" s="19" t="s">
        <v>1</v>
      </c>
      <c r="D174" s="22"/>
      <c r="E174" s="22"/>
      <c r="F174" s="22"/>
      <c r="G174" s="22"/>
      <c r="H174" s="7">
        <f>H15*H172*H168</f>
        <v>0</v>
      </c>
      <c r="I174" s="22"/>
      <c r="J174" s="22"/>
      <c r="K174" s="22"/>
      <c r="L174" s="22"/>
      <c r="M174" s="22"/>
      <c r="N174" s="7">
        <f>H15*N172*N168</f>
        <v>0</v>
      </c>
      <c r="O174" s="10"/>
      <c r="P174" s="72"/>
      <c r="Q174" s="22"/>
      <c r="R174" s="22"/>
      <c r="S174" s="22"/>
      <c r="T174" s="22"/>
      <c r="U174" s="7">
        <f>U15*U172*U168</f>
        <v>0</v>
      </c>
      <c r="V174" s="22"/>
      <c r="W174" s="22"/>
      <c r="X174" s="22"/>
      <c r="Y174" s="22"/>
      <c r="Z174" s="22"/>
      <c r="AA174" s="7">
        <f>U15*AA172*AA168</f>
        <v>0</v>
      </c>
    </row>
    <row r="175" spans="1:65" s="2" customFormat="1" ht="3.95" customHeight="1" x14ac:dyDescent="0.2">
      <c r="A175" s="19"/>
      <c r="B175" s="19"/>
      <c r="C175" s="19"/>
      <c r="D175" s="22"/>
      <c r="E175" s="22"/>
      <c r="F175" s="22"/>
      <c r="G175" s="22"/>
      <c r="H175" s="10"/>
      <c r="I175" s="22"/>
      <c r="J175" s="22"/>
      <c r="K175" s="22"/>
      <c r="L175" s="22"/>
      <c r="M175" s="22"/>
      <c r="N175" s="10"/>
      <c r="O175" s="10"/>
      <c r="P175" s="72"/>
      <c r="Q175" s="22"/>
      <c r="R175" s="22"/>
      <c r="S175" s="22"/>
      <c r="T175" s="22"/>
      <c r="U175" s="10"/>
      <c r="V175" s="22"/>
      <c r="W175" s="22"/>
      <c r="X175" s="22"/>
      <c r="Y175" s="22"/>
      <c r="Z175" s="22"/>
      <c r="AA175" s="10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</row>
    <row r="176" spans="1:65" ht="15" customHeight="1" thickBot="1" x14ac:dyDescent="0.25">
      <c r="B176" s="18" t="s">
        <v>83</v>
      </c>
      <c r="D176" s="22"/>
      <c r="F176" s="22"/>
      <c r="H176" s="22"/>
      <c r="J176" s="22"/>
      <c r="L176" s="22"/>
      <c r="N176" s="22"/>
      <c r="Q176" s="22"/>
      <c r="S176" s="22"/>
      <c r="U176" s="22"/>
      <c r="W176" s="22"/>
      <c r="Y176" s="22"/>
      <c r="AA176" s="22"/>
    </row>
    <row r="177" spans="1:65" ht="15" customHeight="1" thickTop="1" x14ac:dyDescent="0.2">
      <c r="B177" s="19" t="s">
        <v>44</v>
      </c>
      <c r="C177" s="19" t="s">
        <v>2</v>
      </c>
      <c r="D177" s="31"/>
      <c r="F177" s="17">
        <v>150000</v>
      </c>
      <c r="H177" s="6">
        <f>IF(ISNUMBER(D177),D177,F177)</f>
        <v>150000</v>
      </c>
      <c r="J177" s="31"/>
      <c r="L177" s="17">
        <v>60000</v>
      </c>
      <c r="N177" s="6">
        <f>IF(ISNUMBER(J177),J177,L177)</f>
        <v>60000</v>
      </c>
      <c r="O177" s="10"/>
      <c r="P177" s="72"/>
      <c r="Q177" s="31"/>
      <c r="S177" s="17">
        <v>150000</v>
      </c>
      <c r="U177" s="6">
        <f>IF(ISNUMBER(Q177),Q177,S177)</f>
        <v>150000</v>
      </c>
      <c r="W177" s="31"/>
      <c r="Y177" s="17">
        <v>50000</v>
      </c>
      <c r="AA177" s="6">
        <f>IF(ISNUMBER(W177),W177,Y177)</f>
        <v>50000</v>
      </c>
    </row>
    <row r="178" spans="1:65" s="2" customFormat="1" ht="3.95" customHeight="1" thickBot="1" x14ac:dyDescent="0.25">
      <c r="A178" s="19"/>
      <c r="B178" s="19"/>
      <c r="C178" s="19"/>
      <c r="D178" s="29"/>
      <c r="E178" s="19"/>
      <c r="F178" s="29"/>
      <c r="G178" s="19"/>
      <c r="H178" s="10"/>
      <c r="I178" s="19"/>
      <c r="J178" s="29"/>
      <c r="K178" s="19"/>
      <c r="L178" s="29"/>
      <c r="M178" s="19"/>
      <c r="N178" s="10"/>
      <c r="O178" s="10"/>
      <c r="P178" s="72"/>
      <c r="Q178" s="29"/>
      <c r="R178" s="19"/>
      <c r="S178" s="29"/>
      <c r="T178" s="19"/>
      <c r="U178" s="10"/>
      <c r="V178" s="19"/>
      <c r="W178" s="29"/>
      <c r="X178" s="19"/>
      <c r="Y178" s="29"/>
      <c r="Z178" s="19"/>
      <c r="AA178" s="10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</row>
    <row r="179" spans="1:65" ht="15" customHeight="1" thickTop="1" x14ac:dyDescent="0.2">
      <c r="B179" s="19" t="s">
        <v>90</v>
      </c>
      <c r="C179" s="19" t="s">
        <v>16</v>
      </c>
      <c r="D179" s="31"/>
      <c r="F179" s="17">
        <v>5000</v>
      </c>
      <c r="H179" s="6">
        <f>IF(ISNUMBER(D179),D179,F179)</f>
        <v>5000</v>
      </c>
      <c r="J179" s="31"/>
      <c r="L179" s="17">
        <v>5000</v>
      </c>
      <c r="N179" s="6">
        <f>IF(ISNUMBER(J179),J179,L179)</f>
        <v>5000</v>
      </c>
      <c r="O179" s="10"/>
      <c r="P179" s="72"/>
      <c r="Q179" s="31"/>
      <c r="S179" s="17">
        <v>5000</v>
      </c>
      <c r="U179" s="6">
        <f>IF(ISNUMBER(Q179),Q179,S179)</f>
        <v>5000</v>
      </c>
      <c r="W179" s="31"/>
      <c r="Y179" s="17">
        <v>5000</v>
      </c>
      <c r="AA179" s="6">
        <f>IF(ISNUMBER(W179),W179,Y179)</f>
        <v>5000</v>
      </c>
    </row>
    <row r="180" spans="1:65" s="2" customFormat="1" ht="3.95" customHeight="1" x14ac:dyDescent="0.2">
      <c r="A180" s="19"/>
      <c r="B180" s="19"/>
      <c r="C180" s="19"/>
      <c r="D180" s="29"/>
      <c r="E180" s="19"/>
      <c r="F180" s="29"/>
      <c r="G180" s="19"/>
      <c r="H180" s="10"/>
      <c r="I180" s="19"/>
      <c r="J180" s="29"/>
      <c r="K180" s="19"/>
      <c r="L180" s="29"/>
      <c r="M180" s="19"/>
      <c r="N180" s="10"/>
      <c r="O180" s="10"/>
      <c r="P180" s="72"/>
      <c r="Q180" s="29"/>
      <c r="R180" s="19"/>
      <c r="S180" s="29"/>
      <c r="T180" s="19"/>
      <c r="U180" s="10"/>
      <c r="V180" s="19"/>
      <c r="W180" s="29"/>
      <c r="X180" s="19"/>
      <c r="Y180" s="29"/>
      <c r="Z180" s="19"/>
      <c r="AA180" s="10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</row>
    <row r="181" spans="1:65" ht="15" customHeight="1" x14ac:dyDescent="0.2">
      <c r="B181" s="19" t="s">
        <v>90</v>
      </c>
      <c r="C181" s="19" t="s">
        <v>170</v>
      </c>
      <c r="D181" s="22"/>
      <c r="E181" s="22"/>
      <c r="F181" s="22"/>
      <c r="G181" s="22"/>
      <c r="H181" s="34">
        <f>$H9/H177</f>
        <v>0.91433333333333333</v>
      </c>
      <c r="I181" s="22"/>
      <c r="J181" s="22"/>
      <c r="K181" s="22"/>
      <c r="L181" s="22"/>
      <c r="M181" s="22"/>
      <c r="N181" s="34">
        <f>$H9/N177</f>
        <v>2.2858333333333332</v>
      </c>
      <c r="O181" s="13"/>
      <c r="P181" s="73"/>
      <c r="Q181" s="22"/>
      <c r="R181" s="22"/>
      <c r="S181" s="22"/>
      <c r="T181" s="22"/>
      <c r="U181" s="34">
        <f>$U9/U177</f>
        <v>0.91433333333333333</v>
      </c>
      <c r="V181" s="22"/>
      <c r="W181" s="22"/>
      <c r="X181" s="22"/>
      <c r="Y181" s="22"/>
      <c r="Z181" s="22"/>
      <c r="AA181" s="34">
        <f>$U9/AA177</f>
        <v>2.7429999999999999</v>
      </c>
    </row>
    <row r="182" spans="1:65" s="2" customFormat="1" ht="3.95" customHeight="1" x14ac:dyDescent="0.2">
      <c r="A182" s="19"/>
      <c r="B182" s="19"/>
      <c r="C182" s="19"/>
      <c r="D182" s="22"/>
      <c r="E182" s="22"/>
      <c r="F182" s="22"/>
      <c r="G182" s="22"/>
      <c r="H182" s="15"/>
      <c r="I182" s="22"/>
      <c r="J182" s="22"/>
      <c r="K182" s="22"/>
      <c r="L182" s="22"/>
      <c r="M182" s="22"/>
      <c r="N182" s="15"/>
      <c r="O182" s="15"/>
      <c r="P182" s="85"/>
      <c r="Q182" s="22"/>
      <c r="R182" s="22"/>
      <c r="S182" s="22"/>
      <c r="T182" s="22"/>
      <c r="U182" s="15"/>
      <c r="V182" s="22"/>
      <c r="W182" s="22"/>
      <c r="X182" s="22"/>
      <c r="Y182" s="22"/>
      <c r="Z182" s="22"/>
      <c r="AA182" s="15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</row>
    <row r="183" spans="1:65" ht="15" customHeight="1" x14ac:dyDescent="0.2">
      <c r="B183" s="19" t="s">
        <v>76</v>
      </c>
      <c r="C183" s="19" t="s">
        <v>1</v>
      </c>
      <c r="D183" s="22"/>
      <c r="E183" s="22"/>
      <c r="F183" s="22"/>
      <c r="G183" s="22"/>
      <c r="H183" s="7">
        <f>H15*H181*H179</f>
        <v>0</v>
      </c>
      <c r="I183" s="22"/>
      <c r="J183" s="22"/>
      <c r="K183" s="22"/>
      <c r="L183" s="22"/>
      <c r="M183" s="22"/>
      <c r="N183" s="7">
        <f>H15*N181*N179</f>
        <v>0</v>
      </c>
      <c r="O183" s="10"/>
      <c r="P183" s="72"/>
      <c r="Q183" s="22"/>
      <c r="R183" s="22"/>
      <c r="S183" s="22"/>
      <c r="T183" s="22"/>
      <c r="U183" s="7">
        <f>U15*U181*U179</f>
        <v>0</v>
      </c>
      <c r="V183" s="22"/>
      <c r="W183" s="22"/>
      <c r="X183" s="22"/>
      <c r="Y183" s="22"/>
      <c r="Z183" s="22"/>
      <c r="AA183" s="7">
        <f>U15*AA181*AA179</f>
        <v>0</v>
      </c>
    </row>
    <row r="184" spans="1:65" s="2" customFormat="1" ht="3.95" customHeight="1" x14ac:dyDescent="0.2">
      <c r="A184" s="19"/>
      <c r="B184" s="19"/>
      <c r="C184" s="19"/>
      <c r="D184" s="22"/>
      <c r="E184" s="22"/>
      <c r="F184" s="22"/>
      <c r="G184" s="22"/>
      <c r="H184" s="10"/>
      <c r="I184" s="22"/>
      <c r="J184" s="22"/>
      <c r="K184" s="22"/>
      <c r="L184" s="22"/>
      <c r="M184" s="22"/>
      <c r="N184" s="10"/>
      <c r="O184" s="10"/>
      <c r="P184" s="72"/>
      <c r="Q184" s="22"/>
      <c r="R184" s="22"/>
      <c r="S184" s="22"/>
      <c r="T184" s="22"/>
      <c r="U184" s="10"/>
      <c r="V184" s="22"/>
      <c r="W184" s="22"/>
      <c r="X184" s="22"/>
      <c r="Y184" s="22"/>
      <c r="Z184" s="22"/>
      <c r="AA184" s="10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</row>
    <row r="185" spans="1:65" ht="15" customHeight="1" thickBot="1" x14ac:dyDescent="0.25">
      <c r="B185" s="18" t="s">
        <v>15</v>
      </c>
      <c r="D185" s="22"/>
      <c r="F185" s="22"/>
      <c r="H185" s="22"/>
      <c r="J185" s="22"/>
      <c r="L185" s="22"/>
      <c r="N185" s="22"/>
      <c r="Q185" s="22"/>
      <c r="S185" s="22"/>
      <c r="U185" s="22"/>
      <c r="W185" s="22"/>
      <c r="Y185" s="22"/>
      <c r="AA185" s="22"/>
    </row>
    <row r="186" spans="1:65" ht="15" customHeight="1" thickTop="1" x14ac:dyDescent="0.2">
      <c r="B186" s="19" t="s">
        <v>17</v>
      </c>
      <c r="C186" s="19" t="s">
        <v>78</v>
      </c>
      <c r="D186" s="31"/>
      <c r="F186" s="17">
        <v>150000</v>
      </c>
      <c r="H186" s="6">
        <f>IF(ISNUMBER(D186),D186,F186)</f>
        <v>150000</v>
      </c>
      <c r="J186" s="31"/>
      <c r="L186" s="17">
        <v>30000</v>
      </c>
      <c r="N186" s="6">
        <f>IF(ISNUMBER(J186),J186,L186)</f>
        <v>30000</v>
      </c>
      <c r="O186" s="10"/>
      <c r="P186" s="72"/>
      <c r="Q186" s="31"/>
      <c r="S186" s="17">
        <v>150000</v>
      </c>
      <c r="U186" s="6">
        <f>IF(ISNUMBER(Q186),Q186,S186)</f>
        <v>150000</v>
      </c>
      <c r="W186" s="31"/>
      <c r="Y186" s="17">
        <v>60000</v>
      </c>
      <c r="AA186" s="6">
        <f>IF(ISNUMBER(W186),W186,Y186)</f>
        <v>60000</v>
      </c>
    </row>
    <row r="187" spans="1:65" s="2" customFormat="1" ht="3.95" customHeight="1" x14ac:dyDescent="0.2">
      <c r="A187" s="19"/>
      <c r="B187" s="19"/>
      <c r="C187" s="19"/>
      <c r="D187" s="12"/>
      <c r="E187" s="19"/>
      <c r="F187" s="12"/>
      <c r="G187" s="19"/>
      <c r="H187" s="10"/>
      <c r="I187" s="19"/>
      <c r="J187" s="12"/>
      <c r="K187" s="19"/>
      <c r="L187" s="12"/>
      <c r="M187" s="19"/>
      <c r="N187" s="10"/>
      <c r="O187" s="10"/>
      <c r="P187" s="72"/>
      <c r="Q187" s="12"/>
      <c r="R187" s="19"/>
      <c r="S187" s="12"/>
      <c r="T187" s="19"/>
      <c r="U187" s="10"/>
      <c r="V187" s="19"/>
      <c r="W187" s="12"/>
      <c r="X187" s="19"/>
      <c r="Y187" s="12"/>
      <c r="Z187" s="19"/>
      <c r="AA187" s="10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</row>
    <row r="188" spans="1:65" ht="15" customHeight="1" x14ac:dyDescent="0.2">
      <c r="B188" s="19" t="s">
        <v>17</v>
      </c>
      <c r="C188" s="19" t="s">
        <v>171</v>
      </c>
      <c r="D188" s="22"/>
      <c r="E188" s="22"/>
      <c r="F188" s="22"/>
      <c r="G188" s="22"/>
      <c r="H188" s="34">
        <f>$H9/H186</f>
        <v>0.91433333333333333</v>
      </c>
      <c r="I188" s="22"/>
      <c r="J188" s="22"/>
      <c r="K188" s="22"/>
      <c r="L188" s="22"/>
      <c r="M188" s="22"/>
      <c r="N188" s="34">
        <f>$H9/N186</f>
        <v>4.5716666666666663</v>
      </c>
      <c r="O188" s="13"/>
      <c r="P188" s="73"/>
      <c r="Q188" s="22"/>
      <c r="R188" s="22"/>
      <c r="S188" s="22"/>
      <c r="T188" s="22"/>
      <c r="U188" s="34">
        <f>$U9/U186</f>
        <v>0.91433333333333333</v>
      </c>
      <c r="V188" s="22"/>
      <c r="W188" s="22"/>
      <c r="X188" s="22"/>
      <c r="Y188" s="22"/>
      <c r="Z188" s="22"/>
      <c r="AA188" s="34">
        <f>$U9/AA186</f>
        <v>2.2858333333333332</v>
      </c>
    </row>
    <row r="189" spans="1:65" s="2" customFormat="1" ht="3.95" customHeight="1" thickBot="1" x14ac:dyDescent="0.25">
      <c r="A189" s="19"/>
      <c r="B189" s="19"/>
      <c r="C189" s="19"/>
      <c r="D189" s="22"/>
      <c r="E189" s="22"/>
      <c r="F189" s="22"/>
      <c r="G189" s="22"/>
      <c r="H189" s="12"/>
      <c r="I189" s="22"/>
      <c r="J189" s="22"/>
      <c r="K189" s="22"/>
      <c r="L189" s="22"/>
      <c r="M189" s="22"/>
      <c r="N189" s="12"/>
      <c r="O189" s="12"/>
      <c r="P189" s="77"/>
      <c r="Q189" s="22"/>
      <c r="R189" s="22"/>
      <c r="S189" s="22"/>
      <c r="T189" s="22"/>
      <c r="U189" s="12"/>
      <c r="V189" s="22"/>
      <c r="W189" s="22"/>
      <c r="X189" s="22"/>
      <c r="Y189" s="22"/>
      <c r="Z189" s="22"/>
      <c r="AA189" s="12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</row>
    <row r="190" spans="1:65" ht="15" customHeight="1" thickTop="1" x14ac:dyDescent="0.2">
      <c r="B190" s="19" t="s">
        <v>17</v>
      </c>
      <c r="C190" s="19" t="s">
        <v>79</v>
      </c>
      <c r="D190" s="31"/>
      <c r="F190" s="17">
        <v>3000</v>
      </c>
      <c r="H190" s="6">
        <f>IF(ISNUMBER(D190),D190,F190)</f>
        <v>3000</v>
      </c>
      <c r="J190" s="31"/>
      <c r="L190" s="17">
        <v>6000</v>
      </c>
      <c r="N190" s="6">
        <f>IF(ISNUMBER(J190),J190,L190)</f>
        <v>6000</v>
      </c>
      <c r="O190" s="10"/>
      <c r="P190" s="72"/>
      <c r="Q190" s="31"/>
      <c r="S190" s="17">
        <v>3000</v>
      </c>
      <c r="U190" s="6">
        <f>IF(ISNUMBER(Q190),Q190,S190)</f>
        <v>3000</v>
      </c>
      <c r="W190" s="31"/>
      <c r="Y190" s="17">
        <v>8000</v>
      </c>
      <c r="AA190" s="6">
        <f>IF(ISNUMBER(W190),W190,Y190)</f>
        <v>8000</v>
      </c>
    </row>
    <row r="191" spans="1:65" s="2" customFormat="1" ht="3.95" customHeight="1" x14ac:dyDescent="0.2">
      <c r="A191" s="19"/>
      <c r="B191" s="19"/>
      <c r="C191" s="19"/>
      <c r="D191" s="12"/>
      <c r="E191" s="19"/>
      <c r="F191" s="12"/>
      <c r="G191" s="19"/>
      <c r="H191" s="10"/>
      <c r="I191" s="19"/>
      <c r="J191" s="12"/>
      <c r="K191" s="19"/>
      <c r="L191" s="12"/>
      <c r="M191" s="19"/>
      <c r="N191" s="10"/>
      <c r="O191" s="10"/>
      <c r="P191" s="72"/>
      <c r="Q191" s="12"/>
      <c r="R191" s="19"/>
      <c r="S191" s="12"/>
      <c r="T191" s="19"/>
      <c r="U191" s="10"/>
      <c r="V191" s="19"/>
      <c r="W191" s="12"/>
      <c r="X191" s="19"/>
      <c r="Y191" s="12"/>
      <c r="Z191" s="19"/>
      <c r="AA191" s="10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</row>
    <row r="192" spans="1:65" s="2" customFormat="1" ht="15" customHeight="1" x14ac:dyDescent="0.2">
      <c r="A192" s="19"/>
      <c r="B192" s="19" t="s">
        <v>77</v>
      </c>
      <c r="C192" s="19" t="s">
        <v>1</v>
      </c>
      <c r="D192" s="22"/>
      <c r="E192" s="22"/>
      <c r="F192" s="22"/>
      <c r="G192" s="22"/>
      <c r="H192" s="7">
        <f>H15*H188*H190</f>
        <v>0</v>
      </c>
      <c r="I192" s="22"/>
      <c r="J192" s="22"/>
      <c r="K192" s="22"/>
      <c r="L192" s="22"/>
      <c r="M192" s="22"/>
      <c r="N192" s="7">
        <f>H15*N188*N190</f>
        <v>0</v>
      </c>
      <c r="O192" s="10"/>
      <c r="P192" s="72"/>
      <c r="Q192" s="22"/>
      <c r="R192" s="22"/>
      <c r="S192" s="22"/>
      <c r="T192" s="22"/>
      <c r="U192" s="7">
        <f>U15*U188*U190</f>
        <v>0</v>
      </c>
      <c r="V192" s="22"/>
      <c r="W192" s="22"/>
      <c r="X192" s="22"/>
      <c r="Y192" s="22"/>
      <c r="Z192" s="22"/>
      <c r="AA192" s="7">
        <f>U15*AA188*AA190</f>
        <v>0</v>
      </c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</row>
    <row r="193" spans="1:65" s="2" customFormat="1" ht="3.95" customHeight="1" x14ac:dyDescent="0.2">
      <c r="A193" s="19"/>
      <c r="B193" s="19"/>
      <c r="C193" s="19"/>
      <c r="D193" s="22"/>
      <c r="E193" s="22"/>
      <c r="F193" s="22"/>
      <c r="G193" s="22"/>
      <c r="H193" s="10"/>
      <c r="I193" s="22"/>
      <c r="J193" s="22"/>
      <c r="K193" s="22"/>
      <c r="L193" s="22"/>
      <c r="M193" s="22"/>
      <c r="N193" s="10"/>
      <c r="O193" s="10"/>
      <c r="P193" s="72"/>
      <c r="Q193" s="22"/>
      <c r="R193" s="22"/>
      <c r="S193" s="22"/>
      <c r="T193" s="22"/>
      <c r="U193" s="10"/>
      <c r="V193" s="22"/>
      <c r="W193" s="22"/>
      <c r="X193" s="22"/>
      <c r="Y193" s="22"/>
      <c r="Z193" s="22"/>
      <c r="AA193" s="10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</row>
    <row r="194" spans="1:65" s="3" customFormat="1" ht="15" customHeight="1" thickBot="1" x14ac:dyDescent="0.25">
      <c r="A194" s="18"/>
      <c r="B194" s="18" t="s">
        <v>86</v>
      </c>
      <c r="C194" s="18"/>
      <c r="D194" s="30"/>
      <c r="E194" s="18"/>
      <c r="F194" s="30"/>
      <c r="G194" s="18"/>
      <c r="H194" s="10"/>
      <c r="I194" s="18"/>
      <c r="J194" s="30"/>
      <c r="K194" s="18"/>
      <c r="L194" s="30"/>
      <c r="M194" s="18"/>
      <c r="N194" s="10"/>
      <c r="O194" s="10"/>
      <c r="P194" s="72"/>
      <c r="Q194" s="30"/>
      <c r="R194" s="18"/>
      <c r="S194" s="30"/>
      <c r="T194" s="18"/>
      <c r="U194" s="10"/>
      <c r="V194" s="18"/>
      <c r="W194" s="30"/>
      <c r="X194" s="18"/>
      <c r="Y194" s="30"/>
      <c r="Z194" s="18"/>
      <c r="AA194" s="10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</row>
    <row r="195" spans="1:65" s="2" customFormat="1" ht="15" customHeight="1" thickTop="1" x14ac:dyDescent="0.2">
      <c r="A195" s="19"/>
      <c r="B195" s="19" t="s">
        <v>87</v>
      </c>
      <c r="C195" s="19" t="s">
        <v>170</v>
      </c>
      <c r="D195" s="22"/>
      <c r="E195" s="22"/>
      <c r="F195" s="22"/>
      <c r="G195" s="22"/>
      <c r="H195" s="39"/>
      <c r="I195" s="22"/>
      <c r="J195" s="56"/>
      <c r="K195" s="19"/>
      <c r="L195" s="45">
        <v>0.25</v>
      </c>
      <c r="M195" s="19"/>
      <c r="N195" s="36">
        <f>IF(ISNUMBER(J195),J195,L195)</f>
        <v>0.25</v>
      </c>
      <c r="O195" s="37"/>
      <c r="P195" s="83"/>
      <c r="Q195" s="22"/>
      <c r="R195" s="22"/>
      <c r="S195" s="22"/>
      <c r="T195" s="22"/>
      <c r="U195" s="39"/>
      <c r="V195" s="22"/>
      <c r="W195" s="56"/>
      <c r="X195" s="19"/>
      <c r="Y195" s="45">
        <v>0.25</v>
      </c>
      <c r="Z195" s="19"/>
      <c r="AA195" s="36">
        <f>IF(ISNUMBER(W195),W195,Y195)</f>
        <v>0.25</v>
      </c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</row>
    <row r="196" spans="1:65" s="2" customFormat="1" ht="3.95" customHeight="1" thickBot="1" x14ac:dyDescent="0.25">
      <c r="A196" s="19"/>
      <c r="B196" s="19"/>
      <c r="C196" s="19"/>
      <c r="D196" s="22"/>
      <c r="E196" s="22"/>
      <c r="F196" s="22"/>
      <c r="G196" s="22"/>
      <c r="H196" s="39"/>
      <c r="I196" s="22"/>
      <c r="J196" s="22"/>
      <c r="K196" s="22"/>
      <c r="L196" s="22"/>
      <c r="M196" s="22"/>
      <c r="N196" s="39"/>
      <c r="O196" s="39"/>
      <c r="P196" s="86"/>
      <c r="Q196" s="22"/>
      <c r="R196" s="22"/>
      <c r="S196" s="22"/>
      <c r="T196" s="22"/>
      <c r="U196" s="39"/>
      <c r="V196" s="22"/>
      <c r="W196" s="22"/>
      <c r="X196" s="22"/>
      <c r="Y196" s="22"/>
      <c r="Z196" s="22"/>
      <c r="AA196" s="3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</row>
    <row r="197" spans="1:65" s="2" customFormat="1" ht="15" customHeight="1" thickTop="1" x14ac:dyDescent="0.2">
      <c r="A197" s="19"/>
      <c r="B197" s="19" t="s">
        <v>87</v>
      </c>
      <c r="C197" s="19" t="s">
        <v>16</v>
      </c>
      <c r="D197" s="22"/>
      <c r="E197" s="22"/>
      <c r="F197" s="22"/>
      <c r="G197" s="22"/>
      <c r="H197" s="39"/>
      <c r="I197" s="22"/>
      <c r="J197" s="31"/>
      <c r="K197" s="19"/>
      <c r="L197" s="17">
        <v>40000</v>
      </c>
      <c r="M197" s="19"/>
      <c r="N197" s="6">
        <f>IF(ISNUMBER(J197),J197,L197)</f>
        <v>40000</v>
      </c>
      <c r="O197" s="10"/>
      <c r="P197" s="72"/>
      <c r="Q197" s="22"/>
      <c r="R197" s="22"/>
      <c r="S197" s="22"/>
      <c r="T197" s="22"/>
      <c r="U197" s="39"/>
      <c r="V197" s="22"/>
      <c r="W197" s="31"/>
      <c r="X197" s="19"/>
      <c r="Y197" s="17">
        <v>25000</v>
      </c>
      <c r="Z197" s="19"/>
      <c r="AA197" s="6">
        <f>IF(ISNUMBER(W197),W197,Y197)</f>
        <v>25000</v>
      </c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</row>
    <row r="198" spans="1:65" s="2" customFormat="1" ht="3.95" customHeight="1" x14ac:dyDescent="0.2">
      <c r="A198" s="19"/>
      <c r="B198" s="19"/>
      <c r="C198" s="19"/>
      <c r="D198" s="22"/>
      <c r="E198" s="22"/>
      <c r="F198" s="22"/>
      <c r="G198" s="22"/>
      <c r="H198" s="39"/>
      <c r="I198" s="22"/>
      <c r="J198" s="22"/>
      <c r="K198" s="22"/>
      <c r="L198" s="22"/>
      <c r="M198" s="22"/>
      <c r="N198" s="39"/>
      <c r="O198" s="39"/>
      <c r="P198" s="86"/>
      <c r="Q198" s="22"/>
      <c r="R198" s="22"/>
      <c r="S198" s="22"/>
      <c r="T198" s="22"/>
      <c r="U198" s="39"/>
      <c r="V198" s="22"/>
      <c r="W198" s="22"/>
      <c r="X198" s="22"/>
      <c r="Y198" s="22"/>
      <c r="Z198" s="22"/>
      <c r="AA198" s="3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</row>
    <row r="199" spans="1:65" s="2" customFormat="1" ht="15" customHeight="1" x14ac:dyDescent="0.2">
      <c r="A199" s="19"/>
      <c r="B199" s="19" t="s">
        <v>172</v>
      </c>
      <c r="C199" s="19" t="s">
        <v>1</v>
      </c>
      <c r="D199" s="22"/>
      <c r="E199" s="22"/>
      <c r="F199" s="22"/>
      <c r="G199" s="22"/>
      <c r="H199" s="39"/>
      <c r="I199" s="22"/>
      <c r="J199" s="22"/>
      <c r="K199" s="22"/>
      <c r="L199" s="22"/>
      <c r="M199" s="22"/>
      <c r="N199" s="7">
        <f>H15*N195*N197</f>
        <v>0</v>
      </c>
      <c r="O199" s="10"/>
      <c r="P199" s="72"/>
      <c r="Q199" s="22"/>
      <c r="R199" s="22"/>
      <c r="S199" s="22"/>
      <c r="T199" s="22"/>
      <c r="U199" s="39"/>
      <c r="V199" s="22"/>
      <c r="W199" s="22"/>
      <c r="X199" s="22"/>
      <c r="Y199" s="22"/>
      <c r="Z199" s="22"/>
      <c r="AA199" s="7">
        <f>U15*AA195*AA197</f>
        <v>0</v>
      </c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</row>
    <row r="200" spans="1:65" s="2" customFormat="1" ht="3.95" customHeight="1" x14ac:dyDescent="0.2">
      <c r="A200" s="19"/>
      <c r="B200" s="19"/>
      <c r="C200" s="19"/>
      <c r="D200" s="22"/>
      <c r="E200" s="22"/>
      <c r="F200" s="22"/>
      <c r="G200" s="22"/>
      <c r="H200" s="39"/>
      <c r="I200" s="22"/>
      <c r="J200" s="22"/>
      <c r="K200" s="22"/>
      <c r="L200" s="22"/>
      <c r="M200" s="22"/>
      <c r="N200" s="39"/>
      <c r="O200" s="39"/>
      <c r="P200" s="86"/>
      <c r="Q200" s="22"/>
      <c r="R200" s="22"/>
      <c r="S200" s="22"/>
      <c r="T200" s="22"/>
      <c r="U200" s="39"/>
      <c r="V200" s="22"/>
      <c r="W200" s="22"/>
      <c r="X200" s="22"/>
      <c r="Y200" s="22"/>
      <c r="Z200" s="22"/>
      <c r="AA200" s="3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</row>
    <row r="201" spans="1:65" s="3" customFormat="1" ht="15" customHeight="1" thickBot="1" x14ac:dyDescent="0.25">
      <c r="A201" s="18"/>
      <c r="B201" s="18" t="s">
        <v>80</v>
      </c>
      <c r="C201" s="18"/>
      <c r="D201" s="30"/>
      <c r="E201" s="18"/>
      <c r="F201" s="30"/>
      <c r="G201" s="18"/>
      <c r="H201" s="10"/>
      <c r="I201" s="18"/>
      <c r="J201" s="30"/>
      <c r="K201" s="18"/>
      <c r="L201" s="30"/>
      <c r="M201" s="18"/>
      <c r="N201" s="10"/>
      <c r="O201" s="10"/>
      <c r="P201" s="72"/>
      <c r="Q201" s="30"/>
      <c r="R201" s="18"/>
      <c r="S201" s="30"/>
      <c r="T201" s="18"/>
      <c r="U201" s="10"/>
      <c r="V201" s="18"/>
      <c r="W201" s="30"/>
      <c r="X201" s="18"/>
      <c r="Y201" s="30"/>
      <c r="Z201" s="18"/>
      <c r="AA201" s="10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</row>
    <row r="202" spans="1:65" s="2" customFormat="1" ht="15" customHeight="1" thickTop="1" x14ac:dyDescent="0.2">
      <c r="A202" s="19"/>
      <c r="B202" s="19" t="s">
        <v>81</v>
      </c>
      <c r="C202" s="19" t="s">
        <v>170</v>
      </c>
      <c r="D202" s="31"/>
      <c r="E202" s="19"/>
      <c r="F202" s="17">
        <v>2</v>
      </c>
      <c r="G202" s="19"/>
      <c r="H202" s="6">
        <f>IF(ISNUMBER(D202),D202,F202)</f>
        <v>2</v>
      </c>
      <c r="I202" s="19"/>
      <c r="J202" s="31"/>
      <c r="K202" s="19"/>
      <c r="L202" s="17">
        <v>2</v>
      </c>
      <c r="M202" s="19"/>
      <c r="N202" s="6">
        <f>IF(ISNUMBER(J202),J202,L202)</f>
        <v>2</v>
      </c>
      <c r="O202" s="10"/>
      <c r="P202" s="72"/>
      <c r="Q202" s="31"/>
      <c r="R202" s="19"/>
      <c r="S202" s="17">
        <v>4</v>
      </c>
      <c r="T202" s="19"/>
      <c r="U202" s="6">
        <f>IF(ISNUMBER(Q202),Q202,S202)</f>
        <v>4</v>
      </c>
      <c r="V202" s="19"/>
      <c r="W202" s="31"/>
      <c r="X202" s="19"/>
      <c r="Y202" s="17">
        <v>4</v>
      </c>
      <c r="Z202" s="19"/>
      <c r="AA202" s="6">
        <f>IF(ISNUMBER(W202),W202,Y202)</f>
        <v>4</v>
      </c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</row>
    <row r="203" spans="1:65" s="2" customFormat="1" ht="3.95" customHeight="1" thickBot="1" x14ac:dyDescent="0.25">
      <c r="A203" s="19"/>
      <c r="B203" s="19"/>
      <c r="C203" s="19"/>
      <c r="D203" s="12"/>
      <c r="E203" s="19"/>
      <c r="F203" s="12"/>
      <c r="G203" s="19"/>
      <c r="H203" s="10"/>
      <c r="I203" s="19"/>
      <c r="J203" s="12"/>
      <c r="K203" s="19"/>
      <c r="L203" s="12"/>
      <c r="M203" s="19"/>
      <c r="N203" s="10"/>
      <c r="O203" s="10"/>
      <c r="P203" s="72"/>
      <c r="Q203" s="12"/>
      <c r="R203" s="19"/>
      <c r="S203" s="12"/>
      <c r="T203" s="19"/>
      <c r="U203" s="10"/>
      <c r="V203" s="19"/>
      <c r="W203" s="12"/>
      <c r="X203" s="19"/>
      <c r="Y203" s="12"/>
      <c r="Z203" s="19"/>
      <c r="AA203" s="10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</row>
    <row r="204" spans="1:65" s="2" customFormat="1" ht="15" customHeight="1" thickTop="1" x14ac:dyDescent="0.2">
      <c r="A204" s="19"/>
      <c r="B204" s="19" t="s">
        <v>81</v>
      </c>
      <c r="C204" s="19" t="s">
        <v>16</v>
      </c>
      <c r="D204" s="31"/>
      <c r="E204" s="19"/>
      <c r="F204" s="17">
        <v>5000</v>
      </c>
      <c r="G204" s="19"/>
      <c r="H204" s="6">
        <f>IF(ISNUMBER(D204),D204,F204)</f>
        <v>5000</v>
      </c>
      <c r="I204" s="19"/>
      <c r="J204" s="31"/>
      <c r="K204" s="19"/>
      <c r="L204" s="17">
        <v>5000</v>
      </c>
      <c r="M204" s="19"/>
      <c r="N204" s="6">
        <f>IF(ISNUMBER(J204),J204,L204)</f>
        <v>5000</v>
      </c>
      <c r="O204" s="10"/>
      <c r="P204" s="72"/>
      <c r="Q204" s="31"/>
      <c r="R204" s="19"/>
      <c r="S204" s="17">
        <v>5000</v>
      </c>
      <c r="T204" s="19"/>
      <c r="U204" s="6">
        <f>IF(ISNUMBER(Q204),Q204,S204)</f>
        <v>5000</v>
      </c>
      <c r="V204" s="19"/>
      <c r="W204" s="31"/>
      <c r="X204" s="19"/>
      <c r="Y204" s="17">
        <v>5000</v>
      </c>
      <c r="Z204" s="19"/>
      <c r="AA204" s="6">
        <f>IF(ISNUMBER(W204),W204,Y204)</f>
        <v>5000</v>
      </c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</row>
    <row r="205" spans="1:65" s="2" customFormat="1" ht="3.95" customHeight="1" x14ac:dyDescent="0.2">
      <c r="A205" s="19"/>
      <c r="B205" s="19"/>
      <c r="C205" s="19"/>
      <c r="D205" s="12"/>
      <c r="E205" s="19"/>
      <c r="F205" s="12"/>
      <c r="G205" s="19"/>
      <c r="H205" s="10"/>
      <c r="I205" s="19"/>
      <c r="J205" s="12"/>
      <c r="K205" s="19"/>
      <c r="L205" s="12"/>
      <c r="M205" s="19"/>
      <c r="N205" s="10"/>
      <c r="O205" s="10"/>
      <c r="P205" s="72"/>
      <c r="Q205" s="12"/>
      <c r="R205" s="19"/>
      <c r="S205" s="12"/>
      <c r="T205" s="19"/>
      <c r="U205" s="10"/>
      <c r="V205" s="19"/>
      <c r="W205" s="12"/>
      <c r="X205" s="19"/>
      <c r="Y205" s="12"/>
      <c r="Z205" s="19"/>
      <c r="AA205" s="10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</row>
    <row r="206" spans="1:65" s="2" customFormat="1" ht="15" customHeight="1" x14ac:dyDescent="0.2">
      <c r="A206" s="19"/>
      <c r="B206" s="19" t="s">
        <v>82</v>
      </c>
      <c r="C206" s="19" t="s">
        <v>1</v>
      </c>
      <c r="D206" s="22"/>
      <c r="E206" s="22"/>
      <c r="F206" s="22"/>
      <c r="G206" s="22"/>
      <c r="H206" s="7">
        <f>H15*H202*H204</f>
        <v>0</v>
      </c>
      <c r="I206" s="22"/>
      <c r="J206" s="22"/>
      <c r="K206" s="22"/>
      <c r="L206" s="22"/>
      <c r="M206" s="22"/>
      <c r="N206" s="7">
        <f>H15*N202*N204</f>
        <v>0</v>
      </c>
      <c r="O206" s="10"/>
      <c r="P206" s="72"/>
      <c r="Q206" s="22"/>
      <c r="R206" s="22"/>
      <c r="S206" s="22"/>
      <c r="T206" s="22"/>
      <c r="U206" s="7">
        <f>U15*U202*U204</f>
        <v>0</v>
      </c>
      <c r="V206" s="22"/>
      <c r="W206" s="22"/>
      <c r="X206" s="22"/>
      <c r="Y206" s="22"/>
      <c r="Z206" s="22"/>
      <c r="AA206" s="7">
        <f>U15*AA202*AA204</f>
        <v>0</v>
      </c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</row>
    <row r="207" spans="1:65" s="2" customFormat="1" ht="3.95" customHeight="1" x14ac:dyDescent="0.2">
      <c r="A207" s="19"/>
      <c r="B207" s="19"/>
      <c r="C207" s="19"/>
      <c r="D207" s="22"/>
      <c r="E207" s="22"/>
      <c r="F207" s="22"/>
      <c r="G207" s="22"/>
      <c r="H207" s="10"/>
      <c r="I207" s="22"/>
      <c r="J207" s="22"/>
      <c r="K207" s="22"/>
      <c r="L207" s="22"/>
      <c r="M207" s="22"/>
      <c r="N207" s="10"/>
      <c r="O207" s="10"/>
      <c r="P207" s="72"/>
      <c r="Q207" s="22"/>
      <c r="R207" s="22"/>
      <c r="S207" s="22"/>
      <c r="T207" s="22"/>
      <c r="U207" s="10"/>
      <c r="V207" s="22"/>
      <c r="W207" s="22"/>
      <c r="X207" s="22"/>
      <c r="Y207" s="22"/>
      <c r="Z207" s="22"/>
      <c r="AA207" s="10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</row>
    <row r="208" spans="1:65" s="2" customFormat="1" ht="15" customHeight="1" thickBot="1" x14ac:dyDescent="0.25">
      <c r="A208" s="19"/>
      <c r="B208" s="18" t="s">
        <v>88</v>
      </c>
      <c r="C208" s="19"/>
      <c r="D208" s="10"/>
      <c r="E208" s="19"/>
      <c r="F208" s="10"/>
      <c r="G208" s="19"/>
      <c r="H208" s="10"/>
      <c r="I208" s="19"/>
      <c r="J208" s="10"/>
      <c r="K208" s="19"/>
      <c r="L208" s="10"/>
      <c r="M208" s="19"/>
      <c r="N208" s="10"/>
      <c r="O208" s="10"/>
      <c r="P208" s="72"/>
      <c r="Q208" s="10"/>
      <c r="R208" s="19"/>
      <c r="S208" s="10"/>
      <c r="T208" s="19"/>
      <c r="U208" s="10"/>
      <c r="V208" s="19"/>
      <c r="W208" s="10"/>
      <c r="X208" s="19"/>
      <c r="Y208" s="10"/>
      <c r="Z208" s="19"/>
      <c r="AA208" s="10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</row>
    <row r="209" spans="1:65" s="2" customFormat="1" ht="15" customHeight="1" thickTop="1" x14ac:dyDescent="0.2">
      <c r="A209" s="19"/>
      <c r="B209" s="19" t="s">
        <v>45</v>
      </c>
      <c r="C209" s="19" t="s">
        <v>16</v>
      </c>
      <c r="D209" s="31"/>
      <c r="E209" s="19"/>
      <c r="F209" s="17">
        <v>4000</v>
      </c>
      <c r="G209" s="19"/>
      <c r="H209" s="6">
        <f>IF(ISNUMBER(D209),D209,F209)</f>
        <v>4000</v>
      </c>
      <c r="I209" s="19"/>
      <c r="J209" s="31"/>
      <c r="K209" s="19"/>
      <c r="L209" s="17">
        <v>4000</v>
      </c>
      <c r="M209" s="19"/>
      <c r="N209" s="6">
        <f>IF(ISNUMBER(J209),J209,L209)</f>
        <v>4000</v>
      </c>
      <c r="O209" s="10"/>
      <c r="P209" s="72"/>
      <c r="Q209" s="31"/>
      <c r="R209" s="19"/>
      <c r="S209" s="17">
        <v>4000</v>
      </c>
      <c r="T209" s="19"/>
      <c r="U209" s="6">
        <f>IF(ISNUMBER(Q209),Q209,S209)</f>
        <v>4000</v>
      </c>
      <c r="V209" s="19"/>
      <c r="W209" s="31"/>
      <c r="X209" s="19"/>
      <c r="Y209" s="17">
        <v>4000</v>
      </c>
      <c r="Z209" s="19"/>
      <c r="AA209" s="6">
        <f>IF(ISNUMBER(W209),W209,Y209)</f>
        <v>4000</v>
      </c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</row>
    <row r="210" spans="1:65" s="2" customFormat="1" ht="3.95" customHeight="1" x14ac:dyDescent="0.2">
      <c r="A210" s="19"/>
      <c r="B210" s="19"/>
      <c r="C210" s="19"/>
      <c r="D210" s="12"/>
      <c r="E210" s="19"/>
      <c r="F210" s="12"/>
      <c r="G210" s="19"/>
      <c r="H210" s="10"/>
      <c r="I210" s="19"/>
      <c r="J210" s="12"/>
      <c r="K210" s="19"/>
      <c r="L210" s="12"/>
      <c r="M210" s="19"/>
      <c r="N210" s="10"/>
      <c r="O210" s="10"/>
      <c r="P210" s="72"/>
      <c r="Q210" s="12"/>
      <c r="R210" s="19"/>
      <c r="S210" s="12"/>
      <c r="T210" s="19"/>
      <c r="U210" s="10"/>
      <c r="V210" s="19"/>
      <c r="W210" s="12"/>
      <c r="X210" s="19"/>
      <c r="Y210" s="12"/>
      <c r="Z210" s="19"/>
      <c r="AA210" s="10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</row>
    <row r="211" spans="1:65" s="2" customFormat="1" ht="15" customHeight="1" x14ac:dyDescent="0.2">
      <c r="A211" s="19"/>
      <c r="B211" s="19" t="s">
        <v>89</v>
      </c>
      <c r="C211" s="19" t="s">
        <v>1</v>
      </c>
      <c r="D211" s="22"/>
      <c r="E211" s="22"/>
      <c r="F211" s="22"/>
      <c r="G211" s="22"/>
      <c r="H211" s="7">
        <f>H15*H209/H28</f>
        <v>0</v>
      </c>
      <c r="I211" s="22"/>
      <c r="J211" s="22"/>
      <c r="K211" s="22"/>
      <c r="L211" s="22"/>
      <c r="M211" s="22"/>
      <c r="N211" s="7">
        <f>H15*N209/N28</f>
        <v>0</v>
      </c>
      <c r="O211" s="10"/>
      <c r="P211" s="72"/>
      <c r="Q211" s="22"/>
      <c r="R211" s="22"/>
      <c r="S211" s="22"/>
      <c r="T211" s="22"/>
      <c r="U211" s="7">
        <f>U15*U209/U28</f>
        <v>0</v>
      </c>
      <c r="V211" s="22"/>
      <c r="W211" s="22"/>
      <c r="X211" s="22"/>
      <c r="Y211" s="22"/>
      <c r="Z211" s="22"/>
      <c r="AA211" s="7">
        <f>U15*AA209/AA28</f>
        <v>0</v>
      </c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</row>
    <row r="212" spans="1:65" s="2" customFormat="1" ht="3.95" customHeight="1" x14ac:dyDescent="0.2">
      <c r="A212" s="19"/>
      <c r="B212" s="19"/>
      <c r="C212" s="19"/>
      <c r="D212" s="22"/>
      <c r="E212" s="22"/>
      <c r="F212" s="22"/>
      <c r="G212" s="22"/>
      <c r="H212" s="10"/>
      <c r="I212" s="22"/>
      <c r="J212" s="22"/>
      <c r="K212" s="22"/>
      <c r="L212" s="22"/>
      <c r="M212" s="22"/>
      <c r="N212" s="10"/>
      <c r="O212" s="10"/>
      <c r="P212" s="72"/>
      <c r="Q212" s="22"/>
      <c r="R212" s="22"/>
      <c r="S212" s="22"/>
      <c r="T212" s="22"/>
      <c r="U212" s="10"/>
      <c r="V212" s="22"/>
      <c r="W212" s="22"/>
      <c r="X212" s="22"/>
      <c r="Y212" s="22"/>
      <c r="Z212" s="22"/>
      <c r="AA212" s="10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</row>
    <row r="213" spans="1:65" s="2" customFormat="1" ht="15" customHeight="1" thickBot="1" x14ac:dyDescent="0.25">
      <c r="A213" s="19"/>
      <c r="B213" s="18" t="s">
        <v>108</v>
      </c>
      <c r="C213" s="19"/>
      <c r="D213" s="10"/>
      <c r="E213" s="19"/>
      <c r="F213" s="10"/>
      <c r="G213" s="19"/>
      <c r="H213" s="10"/>
      <c r="I213" s="19"/>
      <c r="J213" s="10"/>
      <c r="K213" s="19"/>
      <c r="L213" s="10"/>
      <c r="M213" s="19"/>
      <c r="N213" s="10"/>
      <c r="O213" s="10"/>
      <c r="P213" s="72"/>
      <c r="Q213" s="10"/>
      <c r="R213" s="19"/>
      <c r="S213" s="10"/>
      <c r="T213" s="19"/>
      <c r="U213" s="10"/>
      <c r="V213" s="19"/>
      <c r="W213" s="10"/>
      <c r="X213" s="19"/>
      <c r="Y213" s="10"/>
      <c r="Z213" s="19"/>
      <c r="AA213" s="10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</row>
    <row r="214" spans="1:65" s="2" customFormat="1" ht="15" customHeight="1" thickTop="1" x14ac:dyDescent="0.2">
      <c r="A214" s="19"/>
      <c r="B214" s="19" t="s">
        <v>109</v>
      </c>
      <c r="C214" s="19" t="s">
        <v>104</v>
      </c>
      <c r="D214" s="69"/>
      <c r="E214" s="19"/>
      <c r="F214" s="43">
        <v>20</v>
      </c>
      <c r="G214" s="19"/>
      <c r="H214" s="44">
        <f>IF(ISNUMBER(D214),D214,F214)</f>
        <v>20</v>
      </c>
      <c r="I214" s="19"/>
      <c r="J214" s="10"/>
      <c r="K214" s="19"/>
      <c r="L214" s="10"/>
      <c r="M214" s="19"/>
      <c r="N214" s="10"/>
      <c r="O214" s="10"/>
      <c r="P214" s="72"/>
      <c r="Q214" s="69"/>
      <c r="R214" s="19"/>
      <c r="S214" s="43">
        <v>20</v>
      </c>
      <c r="T214" s="19"/>
      <c r="U214" s="44">
        <f>IF(ISNUMBER(Q214),Q214,S214)</f>
        <v>20</v>
      </c>
      <c r="V214" s="19"/>
      <c r="W214" s="10"/>
      <c r="X214" s="19"/>
      <c r="Y214" s="10"/>
      <c r="Z214" s="19"/>
      <c r="AA214" s="10"/>
      <c r="AB214" s="19"/>
      <c r="AC214" s="59">
        <f>(H106+H216)-H214</f>
        <v>-14</v>
      </c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</row>
    <row r="215" spans="1:65" s="2" customFormat="1" ht="3.95" customHeight="1" thickBot="1" x14ac:dyDescent="0.25">
      <c r="A215" s="19"/>
      <c r="B215" s="19"/>
      <c r="C215" s="19"/>
      <c r="D215" s="12"/>
      <c r="E215" s="19"/>
      <c r="F215" s="12"/>
      <c r="G215" s="19"/>
      <c r="H215" s="10"/>
      <c r="I215" s="19"/>
      <c r="J215" s="12"/>
      <c r="K215" s="19"/>
      <c r="L215" s="12"/>
      <c r="M215" s="19"/>
      <c r="N215" s="10"/>
      <c r="O215" s="10"/>
      <c r="P215" s="72"/>
      <c r="Q215" s="12"/>
      <c r="R215" s="19"/>
      <c r="S215" s="12"/>
      <c r="T215" s="19"/>
      <c r="U215" s="10"/>
      <c r="V215" s="19"/>
      <c r="W215" s="12"/>
      <c r="X215" s="19"/>
      <c r="Y215" s="12"/>
      <c r="Z215" s="19"/>
      <c r="AA215" s="10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</row>
    <row r="216" spans="1:65" s="2" customFormat="1" ht="15" customHeight="1" thickTop="1" x14ac:dyDescent="0.2">
      <c r="A216" s="19"/>
      <c r="B216" s="19" t="s">
        <v>110</v>
      </c>
      <c r="C216" s="19" t="s">
        <v>104</v>
      </c>
      <c r="D216" s="54"/>
      <c r="E216" s="19"/>
      <c r="F216" s="43">
        <v>0</v>
      </c>
      <c r="G216" s="19"/>
      <c r="H216" s="44">
        <f>IF(ISNUMBER(D216),D216,F216)</f>
        <v>0</v>
      </c>
      <c r="I216" s="19"/>
      <c r="J216" s="12"/>
      <c r="K216" s="19"/>
      <c r="L216" s="12"/>
      <c r="M216" s="19"/>
      <c r="N216" s="10"/>
      <c r="O216" s="10"/>
      <c r="P216" s="72"/>
      <c r="Q216" s="54"/>
      <c r="R216" s="19"/>
      <c r="S216" s="43">
        <v>0</v>
      </c>
      <c r="T216" s="19"/>
      <c r="U216" s="44">
        <f>IF(ISNUMBER(Q216),Q216,S216)</f>
        <v>0</v>
      </c>
      <c r="V216" s="19"/>
      <c r="W216" s="12"/>
      <c r="X216" s="19"/>
      <c r="Y216" s="12"/>
      <c r="Z216" s="19"/>
      <c r="AA216" s="10"/>
      <c r="AB216" s="19"/>
      <c r="AC216" s="5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</row>
    <row r="217" spans="1:65" s="2" customFormat="1" ht="3.95" customHeight="1" x14ac:dyDescent="0.2">
      <c r="A217" s="19"/>
      <c r="B217" s="19"/>
      <c r="C217" s="19"/>
      <c r="D217" s="12"/>
      <c r="E217" s="19"/>
      <c r="F217" s="12"/>
      <c r="G217" s="19"/>
      <c r="H217" s="10"/>
      <c r="I217" s="19"/>
      <c r="J217" s="12"/>
      <c r="K217" s="19"/>
      <c r="L217" s="12"/>
      <c r="M217" s="19"/>
      <c r="N217" s="10"/>
      <c r="O217" s="10"/>
      <c r="P217" s="72"/>
      <c r="Q217" s="12"/>
      <c r="R217" s="19"/>
      <c r="S217" s="12"/>
      <c r="T217" s="19"/>
      <c r="U217" s="10"/>
      <c r="V217" s="19"/>
      <c r="W217" s="12"/>
      <c r="X217" s="19"/>
      <c r="Y217" s="12"/>
      <c r="Z217" s="19"/>
      <c r="AA217" s="10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</row>
    <row r="218" spans="1:65" s="2" customFormat="1" ht="15" customHeight="1" x14ac:dyDescent="0.2">
      <c r="A218" s="19"/>
      <c r="B218" s="19" t="s">
        <v>112</v>
      </c>
      <c r="C218" s="19" t="s">
        <v>62</v>
      </c>
      <c r="D218" s="22"/>
      <c r="E218" s="22"/>
      <c r="F218" s="22"/>
      <c r="G218" s="22"/>
      <c r="H218" s="34">
        <f>IF(H214-(H106+H216)&lt;=0,(H106+H216)-H214,0)/60*$H7</f>
        <v>0</v>
      </c>
      <c r="I218" s="22"/>
      <c r="J218" s="22"/>
      <c r="K218" s="22"/>
      <c r="L218" s="22"/>
      <c r="M218" s="22"/>
      <c r="N218" s="10"/>
      <c r="O218" s="10"/>
      <c r="P218" s="72"/>
      <c r="Q218" s="22"/>
      <c r="R218" s="22"/>
      <c r="S218" s="22"/>
      <c r="T218" s="22"/>
      <c r="U218" s="34">
        <f>IF(U214-(U106+U216)&lt;=0,(U106+U216)-U214,0)/60*U7</f>
        <v>140.11111111111111</v>
      </c>
      <c r="V218" s="22"/>
      <c r="W218" s="22"/>
      <c r="X218" s="22"/>
      <c r="Y218" s="22"/>
      <c r="Z218" s="22"/>
      <c r="AA218" s="10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</row>
    <row r="219" spans="1:65" s="2" customFormat="1" ht="3.95" customHeight="1" thickBot="1" x14ac:dyDescent="0.25">
      <c r="A219" s="19"/>
      <c r="B219" s="19"/>
      <c r="C219" s="19"/>
      <c r="D219" s="12"/>
      <c r="E219" s="19"/>
      <c r="F219" s="12"/>
      <c r="G219" s="19"/>
      <c r="H219" s="10"/>
      <c r="I219" s="19"/>
      <c r="J219" s="12"/>
      <c r="K219" s="19"/>
      <c r="L219" s="12"/>
      <c r="M219" s="19"/>
      <c r="N219" s="10"/>
      <c r="O219" s="10"/>
      <c r="P219" s="72"/>
      <c r="Q219" s="12"/>
      <c r="R219" s="19"/>
      <c r="S219" s="12"/>
      <c r="T219" s="19"/>
      <c r="U219" s="10"/>
      <c r="V219" s="19"/>
      <c r="W219" s="12"/>
      <c r="X219" s="19"/>
      <c r="Y219" s="12"/>
      <c r="Z219" s="19"/>
      <c r="AA219" s="10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</row>
    <row r="220" spans="1:65" s="2" customFormat="1" ht="15" customHeight="1" thickTop="1" x14ac:dyDescent="0.2">
      <c r="A220" s="19"/>
      <c r="B220" s="19" t="s">
        <v>112</v>
      </c>
      <c r="C220" s="19" t="s">
        <v>111</v>
      </c>
      <c r="D220" s="54"/>
      <c r="E220" s="19"/>
      <c r="F220" s="43">
        <v>260</v>
      </c>
      <c r="G220" s="22"/>
      <c r="H220" s="44">
        <f>IF(ISNUMBER(D220),D220,F220)</f>
        <v>260</v>
      </c>
      <c r="I220" s="22"/>
      <c r="J220" s="12"/>
      <c r="K220" s="19"/>
      <c r="L220" s="12"/>
      <c r="M220" s="19"/>
      <c r="N220" s="10"/>
      <c r="O220" s="10"/>
      <c r="P220" s="72"/>
      <c r="Q220" s="54"/>
      <c r="R220" s="19"/>
      <c r="S220" s="43">
        <v>305</v>
      </c>
      <c r="T220" s="22"/>
      <c r="U220" s="44">
        <f>IF(ISNUMBER(Q220),Q220,S220)</f>
        <v>305</v>
      </c>
      <c r="V220" s="22"/>
      <c r="W220" s="12"/>
      <c r="X220" s="19"/>
      <c r="Y220" s="12"/>
      <c r="Z220" s="19"/>
      <c r="AA220" s="10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</row>
    <row r="221" spans="1:65" s="2" customFormat="1" ht="3.95" customHeight="1" x14ac:dyDescent="0.2">
      <c r="A221" s="19"/>
      <c r="B221" s="19"/>
      <c r="C221" s="19"/>
      <c r="D221" s="22"/>
      <c r="E221" s="22"/>
      <c r="F221" s="22"/>
      <c r="G221" s="22"/>
      <c r="H221" s="10"/>
      <c r="I221" s="22"/>
      <c r="J221" s="22"/>
      <c r="K221" s="22"/>
      <c r="L221" s="22"/>
      <c r="M221" s="22"/>
      <c r="N221" s="10"/>
      <c r="O221" s="10"/>
      <c r="P221" s="72"/>
      <c r="Q221" s="22"/>
      <c r="R221" s="22"/>
      <c r="S221" s="22"/>
      <c r="T221" s="22"/>
      <c r="U221" s="10"/>
      <c r="V221" s="22"/>
      <c r="W221" s="22"/>
      <c r="X221" s="22"/>
      <c r="Y221" s="22"/>
      <c r="Z221" s="22"/>
      <c r="AA221" s="10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</row>
    <row r="222" spans="1:65" s="2" customFormat="1" ht="15" customHeight="1" x14ac:dyDescent="0.2">
      <c r="A222" s="19"/>
      <c r="B222" s="19" t="s">
        <v>112</v>
      </c>
      <c r="C222" s="19" t="s">
        <v>1</v>
      </c>
      <c r="D222" s="22"/>
      <c r="E222" s="22"/>
      <c r="F222" s="22"/>
      <c r="G222" s="22"/>
      <c r="H222" s="7">
        <f>H218*H220</f>
        <v>0</v>
      </c>
      <c r="I222" s="22"/>
      <c r="J222" s="22"/>
      <c r="K222" s="22"/>
      <c r="L222" s="22"/>
      <c r="M222" s="22"/>
      <c r="N222" s="10"/>
      <c r="O222" s="10"/>
      <c r="P222" s="72"/>
      <c r="Q222" s="22"/>
      <c r="R222" s="22"/>
      <c r="S222" s="22"/>
      <c r="T222" s="22"/>
      <c r="U222" s="7">
        <f>U15*U218*U220</f>
        <v>0</v>
      </c>
      <c r="V222" s="22"/>
      <c r="W222" s="22"/>
      <c r="X222" s="22"/>
      <c r="Y222" s="22"/>
      <c r="Z222" s="22"/>
      <c r="AA222" s="10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</row>
    <row r="223" spans="1:65" s="2" customFormat="1" ht="3.95" customHeight="1" thickBot="1" x14ac:dyDescent="0.25">
      <c r="A223" s="19"/>
      <c r="B223" s="19"/>
      <c r="C223" s="19"/>
      <c r="D223" s="12"/>
      <c r="E223" s="19"/>
      <c r="F223" s="12"/>
      <c r="G223" s="19"/>
      <c r="H223" s="10"/>
      <c r="I223" s="19"/>
      <c r="J223" s="12"/>
      <c r="K223" s="19"/>
      <c r="L223" s="12"/>
      <c r="M223" s="19"/>
      <c r="N223" s="10"/>
      <c r="O223" s="10"/>
      <c r="P223" s="72"/>
      <c r="Q223" s="12"/>
      <c r="R223" s="19"/>
      <c r="S223" s="12"/>
      <c r="T223" s="19"/>
      <c r="U223" s="10"/>
      <c r="V223" s="19"/>
      <c r="W223" s="12"/>
      <c r="X223" s="19"/>
      <c r="Y223" s="12"/>
      <c r="Z223" s="19"/>
      <c r="AA223" s="10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</row>
    <row r="224" spans="1:65" s="2" customFormat="1" ht="15" customHeight="1" thickTop="1" x14ac:dyDescent="0.2">
      <c r="A224" s="19"/>
      <c r="B224" s="19" t="s">
        <v>113</v>
      </c>
      <c r="C224" s="19" t="s">
        <v>104</v>
      </c>
      <c r="D224" s="54"/>
      <c r="E224" s="19"/>
      <c r="F224" s="43">
        <v>0</v>
      </c>
      <c r="G224" s="19"/>
      <c r="H224" s="44">
        <f>IF(ISNUMBER(D224),D224,F224)</f>
        <v>0</v>
      </c>
      <c r="I224" s="19"/>
      <c r="J224" s="12"/>
      <c r="K224" s="19"/>
      <c r="L224" s="12"/>
      <c r="M224" s="19"/>
      <c r="N224" s="10"/>
      <c r="O224" s="10"/>
      <c r="P224" s="72"/>
      <c r="Q224" s="54"/>
      <c r="R224" s="19"/>
      <c r="S224" s="43">
        <v>0</v>
      </c>
      <c r="T224" s="19"/>
      <c r="U224" s="44">
        <f>IF(ISNUMBER(Q224),Q224,S224)</f>
        <v>0</v>
      </c>
      <c r="V224" s="19"/>
      <c r="W224" s="12"/>
      <c r="X224" s="19"/>
      <c r="Y224" s="12"/>
      <c r="Z224" s="19"/>
      <c r="AA224" s="10"/>
      <c r="AB224" s="19"/>
      <c r="AC224" s="5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</row>
    <row r="225" spans="1:65" s="2" customFormat="1" ht="3.95" customHeight="1" x14ac:dyDescent="0.2">
      <c r="A225" s="19"/>
      <c r="B225" s="19"/>
      <c r="C225" s="19"/>
      <c r="D225" s="12"/>
      <c r="E225" s="19"/>
      <c r="F225" s="12"/>
      <c r="G225" s="19"/>
      <c r="H225" s="10"/>
      <c r="I225" s="19"/>
      <c r="J225" s="12"/>
      <c r="K225" s="19"/>
      <c r="L225" s="12"/>
      <c r="M225" s="19"/>
      <c r="N225" s="10"/>
      <c r="O225" s="10"/>
      <c r="P225" s="72"/>
      <c r="Q225" s="12"/>
      <c r="R225" s="19"/>
      <c r="S225" s="12"/>
      <c r="T225" s="19"/>
      <c r="U225" s="10"/>
      <c r="V225" s="19"/>
      <c r="W225" s="12"/>
      <c r="X225" s="19"/>
      <c r="Y225" s="12"/>
      <c r="Z225" s="19"/>
      <c r="AA225" s="10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</row>
    <row r="226" spans="1:65" s="2" customFormat="1" ht="15" customHeight="1" x14ac:dyDescent="0.2">
      <c r="A226" s="19"/>
      <c r="B226" s="19" t="s">
        <v>113</v>
      </c>
      <c r="C226" s="19" t="s">
        <v>62</v>
      </c>
      <c r="D226" s="22"/>
      <c r="E226" s="22"/>
      <c r="F226" s="22"/>
      <c r="G226" s="22"/>
      <c r="H226" s="34">
        <f>H224/60*$H7</f>
        <v>0</v>
      </c>
      <c r="I226" s="22"/>
      <c r="J226" s="22"/>
      <c r="K226" s="22"/>
      <c r="L226" s="22"/>
      <c r="M226" s="22"/>
      <c r="N226" s="10"/>
      <c r="O226" s="10"/>
      <c r="P226" s="72"/>
      <c r="Q226" s="22"/>
      <c r="R226" s="22"/>
      <c r="S226" s="22"/>
      <c r="T226" s="22"/>
      <c r="U226" s="34">
        <f>U224/60*$U7</f>
        <v>0</v>
      </c>
      <c r="V226" s="22"/>
      <c r="W226" s="22"/>
      <c r="X226" s="22"/>
      <c r="Y226" s="22"/>
      <c r="Z226" s="22"/>
      <c r="AA226" s="10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</row>
    <row r="227" spans="1:65" s="2" customFormat="1" ht="3.95" customHeight="1" thickBot="1" x14ac:dyDescent="0.25">
      <c r="A227" s="19"/>
      <c r="B227" s="19"/>
      <c r="C227" s="19"/>
      <c r="D227" s="12"/>
      <c r="E227" s="19"/>
      <c r="F227" s="12"/>
      <c r="G227" s="19"/>
      <c r="H227" s="10"/>
      <c r="I227" s="19"/>
      <c r="J227" s="12"/>
      <c r="K227" s="19"/>
      <c r="L227" s="12"/>
      <c r="M227" s="19"/>
      <c r="N227" s="10"/>
      <c r="O227" s="10"/>
      <c r="P227" s="72"/>
      <c r="Q227" s="12"/>
      <c r="R227" s="19"/>
      <c r="S227" s="12"/>
      <c r="T227" s="19"/>
      <c r="U227" s="10"/>
      <c r="V227" s="19"/>
      <c r="W227" s="12"/>
      <c r="X227" s="19"/>
      <c r="Y227" s="12"/>
      <c r="Z227" s="19"/>
      <c r="AA227" s="10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</row>
    <row r="228" spans="1:65" s="2" customFormat="1" ht="15" customHeight="1" thickTop="1" x14ac:dyDescent="0.2">
      <c r="A228" s="19"/>
      <c r="B228" s="19" t="s">
        <v>113</v>
      </c>
      <c r="C228" s="19" t="s">
        <v>111</v>
      </c>
      <c r="D228" s="54"/>
      <c r="E228" s="19"/>
      <c r="F228" s="43">
        <v>250</v>
      </c>
      <c r="G228" s="22"/>
      <c r="H228" s="44">
        <f>IF(ISNUMBER(D228),D228,F228)</f>
        <v>250</v>
      </c>
      <c r="I228" s="22"/>
      <c r="J228" s="12"/>
      <c r="K228" s="19"/>
      <c r="L228" s="12"/>
      <c r="M228" s="19"/>
      <c r="N228" s="10"/>
      <c r="O228" s="10"/>
      <c r="P228" s="72"/>
      <c r="Q228" s="54"/>
      <c r="R228" s="19"/>
      <c r="S228" s="43">
        <v>250</v>
      </c>
      <c r="T228" s="22"/>
      <c r="U228" s="44">
        <f>IF(ISNUMBER(Q228),Q228,S228)</f>
        <v>250</v>
      </c>
      <c r="V228" s="22"/>
      <c r="W228" s="12"/>
      <c r="X228" s="19"/>
      <c r="Y228" s="12"/>
      <c r="Z228" s="19"/>
      <c r="AA228" s="10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</row>
    <row r="229" spans="1:65" s="2" customFormat="1" ht="3.95" customHeight="1" x14ac:dyDescent="0.2">
      <c r="A229" s="19"/>
      <c r="B229" s="19"/>
      <c r="C229" s="19"/>
      <c r="D229" s="22"/>
      <c r="E229" s="22"/>
      <c r="F229" s="22"/>
      <c r="G229" s="22"/>
      <c r="H229" s="10"/>
      <c r="I229" s="22"/>
      <c r="J229" s="22"/>
      <c r="K229" s="22"/>
      <c r="L229" s="22"/>
      <c r="M229" s="22"/>
      <c r="N229" s="10"/>
      <c r="O229" s="10"/>
      <c r="P229" s="72"/>
      <c r="Q229" s="22"/>
      <c r="R229" s="22"/>
      <c r="S229" s="22"/>
      <c r="T229" s="22"/>
      <c r="U229" s="10"/>
      <c r="V229" s="22"/>
      <c r="W229" s="22"/>
      <c r="X229" s="22"/>
      <c r="Y229" s="22"/>
      <c r="Z229" s="22"/>
      <c r="AA229" s="10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</row>
    <row r="230" spans="1:65" s="2" customFormat="1" ht="15" customHeight="1" x14ac:dyDescent="0.2">
      <c r="A230" s="19"/>
      <c r="B230" s="19" t="s">
        <v>113</v>
      </c>
      <c r="C230" s="19" t="s">
        <v>1</v>
      </c>
      <c r="D230" s="22"/>
      <c r="E230" s="22"/>
      <c r="F230" s="22"/>
      <c r="G230" s="22"/>
      <c r="H230" s="7">
        <f>H226*H228</f>
        <v>0</v>
      </c>
      <c r="I230" s="22"/>
      <c r="J230" s="22"/>
      <c r="K230" s="22"/>
      <c r="L230" s="22"/>
      <c r="M230" s="22"/>
      <c r="N230" s="10"/>
      <c r="O230" s="10"/>
      <c r="P230" s="72"/>
      <c r="Q230" s="22"/>
      <c r="R230" s="22"/>
      <c r="S230" s="22"/>
      <c r="T230" s="22"/>
      <c r="U230" s="7">
        <f>U226*U228</f>
        <v>0</v>
      </c>
      <c r="V230" s="22"/>
      <c r="W230" s="22"/>
      <c r="X230" s="22"/>
      <c r="Y230" s="22"/>
      <c r="Z230" s="22"/>
      <c r="AA230" s="10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</row>
    <row r="231" spans="1:65" s="2" customFormat="1" ht="3.95" customHeight="1" x14ac:dyDescent="0.2">
      <c r="A231" s="19"/>
      <c r="B231" s="19"/>
      <c r="C231" s="19"/>
      <c r="D231" s="12"/>
      <c r="E231" s="19"/>
      <c r="F231" s="12"/>
      <c r="G231" s="19"/>
      <c r="H231" s="10"/>
      <c r="I231" s="19"/>
      <c r="J231" s="12"/>
      <c r="K231" s="19"/>
      <c r="L231" s="12"/>
      <c r="M231" s="19"/>
      <c r="N231" s="10"/>
      <c r="O231" s="10"/>
      <c r="P231" s="72"/>
      <c r="Q231" s="12"/>
      <c r="R231" s="19"/>
      <c r="S231" s="12"/>
      <c r="T231" s="19"/>
      <c r="U231" s="10"/>
      <c r="V231" s="19"/>
      <c r="W231" s="12"/>
      <c r="X231" s="19"/>
      <c r="Y231" s="12"/>
      <c r="Z231" s="19"/>
      <c r="AA231" s="10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</row>
    <row r="232" spans="1:65" s="2" customFormat="1" ht="15" customHeight="1" thickBot="1" x14ac:dyDescent="0.25">
      <c r="A232" s="19"/>
      <c r="B232" s="18" t="s">
        <v>121</v>
      </c>
      <c r="C232" s="19"/>
      <c r="D232" s="22"/>
      <c r="E232" s="19"/>
      <c r="F232" s="22"/>
      <c r="G232" s="19"/>
      <c r="H232" s="22"/>
      <c r="I232" s="19"/>
      <c r="J232" s="22"/>
      <c r="K232" s="19"/>
      <c r="L232" s="22"/>
      <c r="M232" s="19"/>
      <c r="N232" s="22"/>
      <c r="O232" s="22"/>
      <c r="P232" s="81"/>
      <c r="Q232" s="22"/>
      <c r="R232" s="19"/>
      <c r="S232" s="22"/>
      <c r="T232" s="19"/>
      <c r="U232" s="22"/>
      <c r="V232" s="19"/>
      <c r="W232" s="22"/>
      <c r="X232" s="19"/>
      <c r="Y232" s="22"/>
      <c r="Z232" s="19"/>
      <c r="AA232" s="22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</row>
    <row r="233" spans="1:65" ht="15" customHeight="1" thickTop="1" x14ac:dyDescent="0.2">
      <c r="B233" s="19" t="s">
        <v>123</v>
      </c>
      <c r="C233" s="19" t="s">
        <v>122</v>
      </c>
      <c r="D233" s="54"/>
      <c r="F233" s="43">
        <f>$H15*$H17*2.44*(N45+N49-(H45+H49))/1000</f>
        <v>0</v>
      </c>
      <c r="H233" s="44">
        <f>IF(ISNUMBER(D233),D233,F233)</f>
        <v>0</v>
      </c>
      <c r="N233" s="22"/>
      <c r="Q233" s="31"/>
      <c r="S233" s="43">
        <f>$U15*$U17*2.44*(AA45+AA49-(U45+U49))/1000</f>
        <v>0</v>
      </c>
      <c r="U233" s="44">
        <f>IF(ISNUMBER(Q233),Q233,S233)</f>
        <v>0</v>
      </c>
      <c r="AA233" s="22"/>
    </row>
    <row r="234" spans="1:65" ht="3.95" customHeight="1" x14ac:dyDescent="0.2">
      <c r="H234" s="22"/>
      <c r="N234" s="22"/>
      <c r="U234" s="22"/>
      <c r="AA234" s="22"/>
    </row>
    <row r="235" spans="1:65" s="2" customFormat="1" ht="15" customHeight="1" x14ac:dyDescent="0.2">
      <c r="A235" s="19"/>
      <c r="B235" s="18" t="s">
        <v>19</v>
      </c>
      <c r="C235" s="19"/>
      <c r="D235" s="22"/>
      <c r="E235" s="19"/>
      <c r="F235" s="22"/>
      <c r="G235" s="19"/>
      <c r="H235" s="22"/>
      <c r="I235" s="19"/>
      <c r="J235" s="22"/>
      <c r="K235" s="19"/>
      <c r="L235" s="22"/>
      <c r="M235" s="19"/>
      <c r="N235" s="22"/>
      <c r="O235" s="22"/>
      <c r="P235" s="81"/>
      <c r="Q235" s="22"/>
      <c r="R235" s="19"/>
      <c r="S235" s="22"/>
      <c r="T235" s="19"/>
      <c r="U235" s="22"/>
      <c r="V235" s="19"/>
      <c r="W235" s="22"/>
      <c r="X235" s="19"/>
      <c r="Y235" s="22"/>
      <c r="Z235" s="19"/>
      <c r="AA235" s="22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</row>
    <row r="236" spans="1:65" ht="15" customHeight="1" x14ac:dyDescent="0.2">
      <c r="B236" s="19" t="s">
        <v>94</v>
      </c>
      <c r="C236" s="19" t="s">
        <v>48</v>
      </c>
      <c r="D236" s="22"/>
      <c r="E236" s="22"/>
      <c r="F236" s="22"/>
      <c r="G236" s="22"/>
      <c r="H236" s="16">
        <f>$H17*(H36+H58+H86+H99+H112+H149+H158+H163+H174+H183+H192+H199+H206+H211+H222+H230)+H138</f>
        <v>0</v>
      </c>
      <c r="I236" s="22"/>
      <c r="J236" s="22"/>
      <c r="K236" s="22"/>
      <c r="L236" s="22"/>
      <c r="M236" s="22"/>
      <c r="N236" s="16">
        <f>$H17*(N36+N58+N86+N99+N112+N149+N158+N163+N174+N183+N192+N199+N206+N211+N222+N230)+N138</f>
        <v>0</v>
      </c>
      <c r="O236" s="32"/>
      <c r="P236" s="87"/>
      <c r="Q236" s="22"/>
      <c r="R236" s="22"/>
      <c r="S236" s="22"/>
      <c r="T236" s="22"/>
      <c r="U236" s="16">
        <f>$U17*(U36+U58+U86+U99+U112+U149+U158+U163+U174+U183+U192+U199+U206+U211+U222+U230)+U138</f>
        <v>0</v>
      </c>
      <c r="V236" s="22"/>
      <c r="W236" s="22"/>
      <c r="X236" s="22"/>
      <c r="Y236" s="22"/>
      <c r="Z236" s="22"/>
      <c r="AA236" s="16">
        <f>$U17*(AA36+AA58+AA86+AA99+AA112+AA149+AA158+AA163+AA174+AA183+AA192+AA199+AA206+AA211+AA222+AA230)+AA138</f>
        <v>0</v>
      </c>
    </row>
    <row r="237" spans="1:65" s="2" customFormat="1" ht="3.95" customHeight="1" x14ac:dyDescent="0.2">
      <c r="A237" s="19"/>
      <c r="B237" s="19"/>
      <c r="C237" s="19"/>
      <c r="D237" s="22"/>
      <c r="E237" s="22"/>
      <c r="F237" s="22"/>
      <c r="G237" s="22"/>
      <c r="H237" s="32"/>
      <c r="I237" s="22"/>
      <c r="J237" s="22"/>
      <c r="K237" s="22"/>
      <c r="L237" s="22"/>
      <c r="M237" s="22"/>
      <c r="N237" s="32"/>
      <c r="O237" s="32"/>
      <c r="P237" s="87"/>
      <c r="Q237" s="22"/>
      <c r="R237" s="22"/>
      <c r="S237" s="22"/>
      <c r="T237" s="22"/>
      <c r="U237" s="32"/>
      <c r="V237" s="22"/>
      <c r="W237" s="22"/>
      <c r="X237" s="22"/>
      <c r="Y237" s="22"/>
      <c r="Z237" s="22"/>
      <c r="AA237" s="32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</row>
    <row r="238" spans="1:65" ht="15" customHeight="1" x14ac:dyDescent="0.2">
      <c r="B238" s="19" t="s">
        <v>120</v>
      </c>
      <c r="C238" s="19" t="s">
        <v>1</v>
      </c>
      <c r="D238" s="22"/>
      <c r="E238" s="22"/>
      <c r="F238" s="22"/>
      <c r="G238" s="22"/>
      <c r="H238" s="5">
        <f>H236-N236</f>
        <v>0</v>
      </c>
      <c r="I238" s="22"/>
      <c r="J238" s="22"/>
      <c r="K238" s="22"/>
      <c r="L238" s="22"/>
      <c r="M238" s="22"/>
      <c r="N238" s="32"/>
      <c r="O238" s="32"/>
      <c r="P238" s="87"/>
      <c r="Q238" s="22"/>
      <c r="R238" s="22"/>
      <c r="S238" s="22"/>
      <c r="T238" s="22"/>
      <c r="U238" s="5">
        <f>U236-AA236</f>
        <v>0</v>
      </c>
      <c r="V238" s="22"/>
      <c r="W238" s="22"/>
      <c r="X238" s="22"/>
      <c r="Y238" s="22"/>
      <c r="Z238" s="22"/>
      <c r="AA238" s="32"/>
    </row>
    <row r="239" spans="1:65" ht="3.95" customHeight="1" thickBot="1" x14ac:dyDescent="0.25">
      <c r="H239" s="22"/>
      <c r="N239" s="22"/>
      <c r="U239" s="22"/>
      <c r="AA239" s="22"/>
    </row>
    <row r="240" spans="1:65" s="99" customFormat="1" ht="15" customHeight="1" x14ac:dyDescent="0.2">
      <c r="A240" s="96"/>
      <c r="B240" s="98" t="s">
        <v>176</v>
      </c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7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  <c r="AR240" s="96"/>
      <c r="AS240" s="96"/>
      <c r="AT240" s="96"/>
      <c r="AU240" s="96"/>
      <c r="AV240" s="96"/>
      <c r="AW240" s="96"/>
      <c r="AX240" s="96"/>
      <c r="AY240" s="96"/>
      <c r="AZ240" s="96"/>
      <c r="BA240" s="96"/>
      <c r="BB240" s="96"/>
      <c r="BC240" s="96"/>
      <c r="BD240" s="96"/>
      <c r="BE240" s="96"/>
      <c r="BF240" s="96"/>
      <c r="BG240" s="96"/>
      <c r="BH240" s="96"/>
      <c r="BI240" s="96"/>
      <c r="BJ240" s="96"/>
      <c r="BK240" s="96"/>
      <c r="BL240" s="96"/>
      <c r="BM240" s="96"/>
    </row>
    <row r="241" spans="2:27" ht="15" customHeight="1" x14ac:dyDescent="0.2">
      <c r="B241" s="19" t="s">
        <v>146</v>
      </c>
      <c r="C241" s="19" t="s">
        <v>48</v>
      </c>
      <c r="H241" s="5">
        <f>H238+U238</f>
        <v>0</v>
      </c>
      <c r="N241" s="22"/>
      <c r="U241" s="22"/>
      <c r="AA241" s="22"/>
    </row>
    <row r="242" spans="2:27" ht="3.95" customHeight="1" thickBot="1" x14ac:dyDescent="0.25">
      <c r="H242" s="22"/>
      <c r="N242" s="22"/>
      <c r="U242" s="22"/>
      <c r="AA242" s="22"/>
    </row>
    <row r="243" spans="2:27" ht="15" customHeight="1" thickTop="1" x14ac:dyDescent="0.2">
      <c r="B243" s="19" t="s">
        <v>165</v>
      </c>
      <c r="C243" s="19" t="s">
        <v>0</v>
      </c>
      <c r="D243" s="54"/>
      <c r="F243" s="41">
        <v>0.5</v>
      </c>
      <c r="H243" s="42">
        <f>IF(ISNUMBER(D243),D243,F243)</f>
        <v>0.5</v>
      </c>
      <c r="N243" s="22"/>
      <c r="U243" s="22"/>
      <c r="AA243" s="22"/>
    </row>
    <row r="244" spans="2:27" ht="3.95" customHeight="1" x14ac:dyDescent="0.2">
      <c r="H244" s="22"/>
      <c r="N244" s="22"/>
      <c r="U244" s="22"/>
      <c r="AA244" s="22"/>
    </row>
    <row r="245" spans="2:27" ht="15" customHeight="1" x14ac:dyDescent="0.2">
      <c r="B245" s="19" t="s">
        <v>148</v>
      </c>
      <c r="C245" s="19" t="s">
        <v>48</v>
      </c>
      <c r="H245" s="67">
        <f>IF(H241&gt;0,H243*H241,0)</f>
        <v>0</v>
      </c>
      <c r="N245" s="22"/>
      <c r="U245" s="22"/>
      <c r="AA245" s="22"/>
    </row>
    <row r="246" spans="2:27" ht="3.95" customHeight="1" x14ac:dyDescent="0.2">
      <c r="H246" s="22"/>
      <c r="N246" s="22"/>
      <c r="U246" s="22"/>
      <c r="AA246" s="22"/>
    </row>
    <row r="247" spans="2:27" ht="15" customHeight="1" x14ac:dyDescent="0.2">
      <c r="B247" s="19" t="s">
        <v>147</v>
      </c>
      <c r="C247" s="19" t="s">
        <v>122</v>
      </c>
      <c r="H247" s="68">
        <f>H233+U233</f>
        <v>0</v>
      </c>
      <c r="N247" s="22"/>
      <c r="U247" s="22"/>
      <c r="AA247" s="22"/>
    </row>
    <row r="248" spans="2:27" ht="3.95" customHeight="1" x14ac:dyDescent="0.2">
      <c r="H248" s="22"/>
      <c r="N248" s="22"/>
      <c r="U248" s="22"/>
      <c r="AA248" s="22"/>
    </row>
    <row r="249" spans="2:27" ht="15" customHeight="1" x14ac:dyDescent="0.2">
      <c r="B249" s="19" t="s">
        <v>121</v>
      </c>
      <c r="C249" s="19" t="s">
        <v>124</v>
      </c>
      <c r="H249" s="67">
        <f>IF(H241&gt;0,IFERROR(H241/H247,0),0)</f>
        <v>0</v>
      </c>
      <c r="N249" s="22"/>
      <c r="U249" s="22"/>
      <c r="AA249" s="22"/>
    </row>
    <row r="250" spans="2:27" x14ac:dyDescent="0.2">
      <c r="H250" s="22"/>
      <c r="N250" s="22"/>
      <c r="U250" s="22"/>
      <c r="AA250" s="22"/>
    </row>
    <row r="251" spans="2:27" x14ac:dyDescent="0.2">
      <c r="H251" s="22"/>
      <c r="N251" s="22"/>
      <c r="U251" s="22"/>
      <c r="AA251" s="22"/>
    </row>
    <row r="252" spans="2:27" x14ac:dyDescent="0.2">
      <c r="H252" s="22"/>
      <c r="N252" s="22"/>
      <c r="U252" s="22"/>
      <c r="AA252" s="22"/>
    </row>
    <row r="253" spans="2:27" x14ac:dyDescent="0.2">
      <c r="H253" s="22"/>
      <c r="N253" s="22"/>
      <c r="U253" s="22"/>
      <c r="AA253" s="22"/>
    </row>
    <row r="254" spans="2:27" x14ac:dyDescent="0.2">
      <c r="H254" s="22"/>
      <c r="N254" s="22"/>
      <c r="U254" s="22"/>
      <c r="AA254" s="22"/>
    </row>
    <row r="255" spans="2:27" x14ac:dyDescent="0.2">
      <c r="H255" s="22"/>
      <c r="N255" s="22"/>
      <c r="U255" s="22"/>
      <c r="AA255" s="22"/>
    </row>
    <row r="256" spans="2:27" x14ac:dyDescent="0.2">
      <c r="H256" s="22"/>
      <c r="N256" s="22"/>
      <c r="U256" s="22"/>
      <c r="AA256" s="22"/>
    </row>
    <row r="257" spans="8:27" x14ac:dyDescent="0.2">
      <c r="H257" s="22"/>
      <c r="N257" s="22"/>
      <c r="U257" s="22"/>
      <c r="AA257" s="22"/>
    </row>
    <row r="258" spans="8:27" x14ac:dyDescent="0.2">
      <c r="H258" s="22"/>
      <c r="N258" s="22"/>
      <c r="U258" s="22"/>
      <c r="AA258" s="22"/>
    </row>
    <row r="259" spans="8:27" x14ac:dyDescent="0.2">
      <c r="H259" s="22"/>
      <c r="N259" s="22"/>
      <c r="U259" s="22"/>
      <c r="AA259" s="22"/>
    </row>
    <row r="260" spans="8:27" x14ac:dyDescent="0.2">
      <c r="H260" s="22"/>
      <c r="N260" s="22"/>
      <c r="U260" s="22"/>
      <c r="AA260" s="22"/>
    </row>
    <row r="261" spans="8:27" x14ac:dyDescent="0.2">
      <c r="H261" s="22"/>
      <c r="N261" s="22"/>
      <c r="U261" s="22"/>
      <c r="AA261" s="22"/>
    </row>
    <row r="262" spans="8:27" x14ac:dyDescent="0.2">
      <c r="H262" s="22"/>
      <c r="N262" s="22"/>
      <c r="U262" s="22"/>
      <c r="AA262" s="22"/>
    </row>
    <row r="263" spans="8:27" x14ac:dyDescent="0.2">
      <c r="H263" s="22"/>
      <c r="N263" s="22"/>
      <c r="U263" s="22"/>
      <c r="AA263" s="22"/>
    </row>
    <row r="264" spans="8:27" x14ac:dyDescent="0.2">
      <c r="H264" s="22"/>
      <c r="N264" s="22"/>
      <c r="U264" s="22"/>
      <c r="AA264" s="22"/>
    </row>
    <row r="265" spans="8:27" x14ac:dyDescent="0.2">
      <c r="H265" s="22"/>
      <c r="N265" s="22"/>
      <c r="U265" s="22"/>
      <c r="AA265" s="22"/>
    </row>
    <row r="266" spans="8:27" x14ac:dyDescent="0.2">
      <c r="H266" s="22"/>
      <c r="N266" s="22"/>
      <c r="U266" s="22"/>
      <c r="AA266" s="22"/>
    </row>
    <row r="267" spans="8:27" x14ac:dyDescent="0.2">
      <c r="H267" s="22"/>
      <c r="N267" s="22"/>
      <c r="U267" s="22"/>
      <c r="AA267" s="22"/>
    </row>
    <row r="268" spans="8:27" x14ac:dyDescent="0.2">
      <c r="H268" s="22"/>
      <c r="N268" s="22"/>
      <c r="U268" s="22"/>
      <c r="AA268" s="22"/>
    </row>
    <row r="269" spans="8:27" x14ac:dyDescent="0.2">
      <c r="H269" s="22"/>
      <c r="N269" s="22"/>
      <c r="U269" s="22"/>
      <c r="AA269" s="22"/>
    </row>
    <row r="270" spans="8:27" x14ac:dyDescent="0.2">
      <c r="H270" s="22"/>
      <c r="N270" s="22"/>
      <c r="U270" s="22"/>
      <c r="AA270" s="22"/>
    </row>
    <row r="271" spans="8:27" x14ac:dyDescent="0.2">
      <c r="H271" s="22"/>
      <c r="N271" s="22"/>
      <c r="U271" s="22"/>
      <c r="AA271" s="22"/>
    </row>
    <row r="272" spans="8:27" x14ac:dyDescent="0.2">
      <c r="H272" s="22"/>
      <c r="N272" s="22"/>
      <c r="U272" s="22"/>
      <c r="AA272" s="22"/>
    </row>
    <row r="273" spans="8:27" x14ac:dyDescent="0.2">
      <c r="H273" s="22"/>
      <c r="N273" s="22"/>
      <c r="U273" s="22"/>
      <c r="AA273" s="22"/>
    </row>
    <row r="274" spans="8:27" x14ac:dyDescent="0.2">
      <c r="H274" s="22"/>
      <c r="N274" s="22"/>
      <c r="U274" s="22"/>
      <c r="AA274" s="22"/>
    </row>
    <row r="275" spans="8:27" x14ac:dyDescent="0.2">
      <c r="H275" s="22"/>
      <c r="N275" s="22"/>
      <c r="U275" s="22"/>
      <c r="AA275" s="22"/>
    </row>
    <row r="276" spans="8:27" x14ac:dyDescent="0.2">
      <c r="H276" s="22"/>
      <c r="N276" s="22"/>
      <c r="U276" s="22"/>
      <c r="AA276" s="22"/>
    </row>
    <row r="277" spans="8:27" x14ac:dyDescent="0.2">
      <c r="H277" s="22"/>
      <c r="N277" s="22"/>
      <c r="U277" s="22"/>
      <c r="AA277" s="22"/>
    </row>
    <row r="278" spans="8:27" x14ac:dyDescent="0.2">
      <c r="H278" s="22"/>
      <c r="N278" s="22"/>
      <c r="U278" s="22"/>
      <c r="AA278" s="22"/>
    </row>
    <row r="279" spans="8:27" x14ac:dyDescent="0.2">
      <c r="H279" s="22"/>
      <c r="N279" s="22"/>
      <c r="U279" s="22"/>
      <c r="AA279" s="22"/>
    </row>
    <row r="280" spans="8:27" x14ac:dyDescent="0.2">
      <c r="H280" s="22"/>
      <c r="N280" s="22"/>
      <c r="U280" s="22"/>
      <c r="AA280" s="22"/>
    </row>
    <row r="281" spans="8:27" x14ac:dyDescent="0.2">
      <c r="H281" s="22"/>
      <c r="N281" s="22"/>
      <c r="U281" s="22"/>
      <c r="AA281" s="22"/>
    </row>
    <row r="282" spans="8:27" x14ac:dyDescent="0.2">
      <c r="H282" s="22"/>
      <c r="N282" s="22"/>
      <c r="U282" s="22"/>
      <c r="AA282" s="22"/>
    </row>
    <row r="283" spans="8:27" x14ac:dyDescent="0.2">
      <c r="H283" s="22"/>
      <c r="N283" s="22"/>
      <c r="U283" s="22"/>
      <c r="AA283" s="22"/>
    </row>
    <row r="284" spans="8:27" x14ac:dyDescent="0.2">
      <c r="H284" s="22"/>
      <c r="N284" s="22"/>
      <c r="U284" s="22"/>
      <c r="AA284" s="22"/>
    </row>
    <row r="285" spans="8:27" x14ac:dyDescent="0.2">
      <c r="H285" s="22"/>
      <c r="N285" s="22"/>
      <c r="U285" s="22"/>
      <c r="AA285" s="22"/>
    </row>
    <row r="286" spans="8:27" x14ac:dyDescent="0.2">
      <c r="H286" s="22"/>
      <c r="N286" s="22"/>
      <c r="U286" s="22"/>
      <c r="AA286" s="22"/>
    </row>
    <row r="287" spans="8:27" x14ac:dyDescent="0.2">
      <c r="H287" s="22"/>
      <c r="N287" s="22"/>
      <c r="U287" s="22"/>
      <c r="AA287" s="22"/>
    </row>
    <row r="288" spans="8:27" x14ac:dyDescent="0.2">
      <c r="H288" s="22"/>
      <c r="N288" s="22"/>
      <c r="U288" s="22"/>
      <c r="AA288" s="22"/>
    </row>
    <row r="289" spans="8:27" x14ac:dyDescent="0.2">
      <c r="H289" s="22"/>
      <c r="N289" s="22"/>
      <c r="U289" s="22"/>
      <c r="AA289" s="22"/>
    </row>
    <row r="290" spans="8:27" x14ac:dyDescent="0.2">
      <c r="H290" s="22"/>
      <c r="N290" s="22"/>
      <c r="U290" s="22"/>
      <c r="AA290" s="22"/>
    </row>
    <row r="291" spans="8:27" x14ac:dyDescent="0.2">
      <c r="H291" s="22"/>
      <c r="N291" s="22"/>
      <c r="U291" s="22"/>
      <c r="AA291" s="22"/>
    </row>
    <row r="292" spans="8:27" x14ac:dyDescent="0.2">
      <c r="H292" s="22"/>
      <c r="N292" s="22"/>
      <c r="U292" s="22"/>
      <c r="AA292" s="22"/>
    </row>
    <row r="293" spans="8:27" x14ac:dyDescent="0.2">
      <c r="H293" s="22"/>
      <c r="N293" s="22"/>
      <c r="U293" s="22"/>
      <c r="AA293" s="22"/>
    </row>
    <row r="294" spans="8:27" x14ac:dyDescent="0.2">
      <c r="H294" s="22"/>
      <c r="N294" s="22"/>
      <c r="U294" s="22"/>
      <c r="AA294" s="22"/>
    </row>
    <row r="295" spans="8:27" x14ac:dyDescent="0.2">
      <c r="H295" s="22"/>
      <c r="N295" s="22"/>
      <c r="U295" s="22"/>
      <c r="AA295" s="22"/>
    </row>
    <row r="296" spans="8:27" x14ac:dyDescent="0.2">
      <c r="H296" s="22"/>
      <c r="N296" s="22"/>
      <c r="U296" s="22"/>
      <c r="AA296" s="22"/>
    </row>
    <row r="297" spans="8:27" x14ac:dyDescent="0.2">
      <c r="H297" s="22"/>
      <c r="N297" s="22"/>
      <c r="U297" s="22"/>
      <c r="AA297" s="22"/>
    </row>
    <row r="298" spans="8:27" x14ac:dyDescent="0.2">
      <c r="H298" s="22"/>
      <c r="N298" s="22"/>
      <c r="U298" s="22"/>
      <c r="AA298" s="22"/>
    </row>
    <row r="299" spans="8:27" x14ac:dyDescent="0.2">
      <c r="H299" s="22"/>
      <c r="N299" s="22"/>
      <c r="U299" s="22"/>
      <c r="AA299" s="22"/>
    </row>
    <row r="300" spans="8:27" x14ac:dyDescent="0.2">
      <c r="H300" s="22"/>
      <c r="N300" s="22"/>
      <c r="U300" s="22"/>
      <c r="AA300" s="22"/>
    </row>
    <row r="301" spans="8:27" x14ac:dyDescent="0.2">
      <c r="H301" s="22"/>
      <c r="N301" s="22"/>
      <c r="U301" s="22"/>
      <c r="AA301" s="22"/>
    </row>
    <row r="302" spans="8:27" x14ac:dyDescent="0.2">
      <c r="H302" s="22"/>
      <c r="N302" s="22"/>
      <c r="U302" s="22"/>
      <c r="AA302" s="22"/>
    </row>
    <row r="303" spans="8:27" x14ac:dyDescent="0.2">
      <c r="H303" s="22"/>
      <c r="N303" s="22"/>
      <c r="U303" s="22"/>
      <c r="AA303" s="22"/>
    </row>
    <row r="304" spans="8:27" x14ac:dyDescent="0.2">
      <c r="H304" s="22"/>
      <c r="N304" s="22"/>
      <c r="U304" s="22"/>
      <c r="AA304" s="22"/>
    </row>
    <row r="305" spans="8:27" x14ac:dyDescent="0.2">
      <c r="H305" s="22"/>
      <c r="N305" s="22"/>
      <c r="U305" s="22"/>
      <c r="AA305" s="22"/>
    </row>
    <row r="306" spans="8:27" x14ac:dyDescent="0.2">
      <c r="H306" s="22"/>
      <c r="N306" s="22"/>
      <c r="U306" s="22"/>
      <c r="AA306" s="22"/>
    </row>
    <row r="307" spans="8:27" x14ac:dyDescent="0.2">
      <c r="H307" s="22"/>
      <c r="N307" s="22"/>
      <c r="U307" s="22"/>
      <c r="AA307" s="22"/>
    </row>
    <row r="308" spans="8:27" x14ac:dyDescent="0.2">
      <c r="H308" s="22"/>
      <c r="N308" s="22"/>
      <c r="U308" s="22"/>
      <c r="AA308" s="22"/>
    </row>
    <row r="309" spans="8:27" x14ac:dyDescent="0.2">
      <c r="H309" s="22"/>
      <c r="N309" s="22"/>
      <c r="U309" s="22"/>
      <c r="AA309" s="22"/>
    </row>
    <row r="310" spans="8:27" x14ac:dyDescent="0.2">
      <c r="H310" s="22"/>
      <c r="N310" s="22"/>
      <c r="U310" s="22"/>
      <c r="AA310" s="22"/>
    </row>
    <row r="311" spans="8:27" x14ac:dyDescent="0.2">
      <c r="H311" s="22"/>
      <c r="N311" s="22"/>
      <c r="U311" s="22"/>
      <c r="AA311" s="22"/>
    </row>
    <row r="312" spans="8:27" x14ac:dyDescent="0.2">
      <c r="H312" s="22"/>
      <c r="N312" s="22"/>
      <c r="U312" s="22"/>
      <c r="AA312" s="22"/>
    </row>
    <row r="313" spans="8:27" x14ac:dyDescent="0.2">
      <c r="H313" s="22"/>
      <c r="N313" s="22"/>
      <c r="U313" s="22"/>
      <c r="AA313" s="22"/>
    </row>
    <row r="314" spans="8:27" x14ac:dyDescent="0.2">
      <c r="H314" s="22"/>
      <c r="N314" s="22"/>
      <c r="U314" s="22"/>
      <c r="AA314" s="22"/>
    </row>
    <row r="315" spans="8:27" x14ac:dyDescent="0.2">
      <c r="H315" s="22"/>
      <c r="N315" s="22"/>
      <c r="U315" s="22"/>
      <c r="AA315" s="22"/>
    </row>
    <row r="316" spans="8:27" x14ac:dyDescent="0.2">
      <c r="H316" s="22"/>
      <c r="N316" s="22"/>
      <c r="U316" s="22"/>
      <c r="AA316" s="22"/>
    </row>
    <row r="317" spans="8:27" x14ac:dyDescent="0.2">
      <c r="H317" s="22"/>
      <c r="N317" s="22"/>
      <c r="U317" s="22"/>
      <c r="AA317" s="22"/>
    </row>
    <row r="318" spans="8:27" x14ac:dyDescent="0.2">
      <c r="H318" s="22"/>
      <c r="N318" s="22"/>
      <c r="U318" s="22"/>
      <c r="AA318" s="22"/>
    </row>
    <row r="319" spans="8:27" x14ac:dyDescent="0.2">
      <c r="H319" s="22"/>
      <c r="N319" s="22"/>
      <c r="U319" s="22"/>
      <c r="AA319" s="22"/>
    </row>
    <row r="320" spans="8:27" x14ac:dyDescent="0.2">
      <c r="H320" s="22"/>
      <c r="N320" s="22"/>
      <c r="U320" s="22"/>
      <c r="AA320" s="22"/>
    </row>
    <row r="321" spans="8:27" x14ac:dyDescent="0.2">
      <c r="H321" s="22"/>
      <c r="N321" s="22"/>
      <c r="U321" s="22"/>
      <c r="AA321" s="22"/>
    </row>
    <row r="322" spans="8:27" x14ac:dyDescent="0.2">
      <c r="H322" s="22"/>
      <c r="N322" s="22"/>
      <c r="U322" s="22"/>
      <c r="AA322" s="22"/>
    </row>
    <row r="323" spans="8:27" x14ac:dyDescent="0.2">
      <c r="H323" s="22"/>
      <c r="N323" s="22"/>
      <c r="U323" s="22"/>
      <c r="AA323" s="22"/>
    </row>
    <row r="324" spans="8:27" x14ac:dyDescent="0.2">
      <c r="H324" s="22"/>
      <c r="N324" s="22"/>
      <c r="U324" s="22"/>
      <c r="AA324" s="22"/>
    </row>
    <row r="325" spans="8:27" x14ac:dyDescent="0.2">
      <c r="H325" s="22"/>
      <c r="N325" s="22"/>
      <c r="U325" s="22"/>
      <c r="AA325" s="22"/>
    </row>
    <row r="326" spans="8:27" x14ac:dyDescent="0.2">
      <c r="H326" s="22"/>
      <c r="N326" s="22"/>
      <c r="U326" s="22"/>
      <c r="AA326" s="22"/>
    </row>
    <row r="327" spans="8:27" x14ac:dyDescent="0.2">
      <c r="H327" s="22"/>
      <c r="N327" s="22"/>
      <c r="U327" s="22"/>
      <c r="AA327" s="22"/>
    </row>
    <row r="328" spans="8:27" x14ac:dyDescent="0.2">
      <c r="H328" s="22"/>
      <c r="N328" s="22"/>
      <c r="U328" s="22"/>
      <c r="AA328" s="22"/>
    </row>
    <row r="329" spans="8:27" x14ac:dyDescent="0.2">
      <c r="H329" s="22"/>
      <c r="N329" s="22"/>
      <c r="U329" s="22"/>
      <c r="AA329" s="22"/>
    </row>
    <row r="330" spans="8:27" x14ac:dyDescent="0.2">
      <c r="H330" s="22"/>
      <c r="N330" s="22"/>
      <c r="U330" s="22"/>
      <c r="AA330" s="22"/>
    </row>
    <row r="331" spans="8:27" x14ac:dyDescent="0.2">
      <c r="H331" s="22"/>
      <c r="N331" s="22"/>
      <c r="U331" s="22"/>
      <c r="AA331" s="22"/>
    </row>
    <row r="332" spans="8:27" x14ac:dyDescent="0.2">
      <c r="H332" s="22"/>
      <c r="N332" s="22"/>
      <c r="U332" s="22"/>
      <c r="AA332" s="22"/>
    </row>
    <row r="333" spans="8:27" x14ac:dyDescent="0.2">
      <c r="H333" s="22"/>
      <c r="N333" s="22"/>
      <c r="U333" s="22"/>
      <c r="AA333" s="22"/>
    </row>
    <row r="334" spans="8:27" x14ac:dyDescent="0.2">
      <c r="H334" s="22"/>
      <c r="N334" s="22"/>
      <c r="U334" s="22"/>
      <c r="AA334" s="22"/>
    </row>
    <row r="335" spans="8:27" x14ac:dyDescent="0.2">
      <c r="H335" s="22"/>
      <c r="N335" s="22"/>
      <c r="U335" s="22"/>
      <c r="AA335" s="22"/>
    </row>
    <row r="336" spans="8:27" x14ac:dyDescent="0.2">
      <c r="H336" s="22"/>
      <c r="N336" s="22"/>
      <c r="U336" s="22"/>
      <c r="AA336" s="22"/>
    </row>
    <row r="337" spans="8:27" x14ac:dyDescent="0.2">
      <c r="H337" s="22"/>
      <c r="N337" s="22"/>
      <c r="U337" s="22"/>
      <c r="AA337" s="22"/>
    </row>
    <row r="338" spans="8:27" x14ac:dyDescent="0.2">
      <c r="H338" s="22"/>
      <c r="N338" s="22"/>
      <c r="U338" s="22"/>
      <c r="AA338" s="22"/>
    </row>
    <row r="339" spans="8:27" x14ac:dyDescent="0.2">
      <c r="H339" s="22"/>
      <c r="N339" s="22"/>
      <c r="U339" s="22"/>
      <c r="AA339" s="22"/>
    </row>
    <row r="340" spans="8:27" x14ac:dyDescent="0.2">
      <c r="H340" s="22"/>
      <c r="N340" s="22"/>
      <c r="U340" s="22"/>
      <c r="AA340" s="22"/>
    </row>
    <row r="341" spans="8:27" x14ac:dyDescent="0.2">
      <c r="H341" s="22"/>
      <c r="N341" s="22"/>
      <c r="U341" s="22"/>
      <c r="AA341" s="22"/>
    </row>
    <row r="342" spans="8:27" x14ac:dyDescent="0.2">
      <c r="H342" s="22"/>
      <c r="N342" s="22"/>
      <c r="U342" s="22"/>
      <c r="AA342" s="22"/>
    </row>
    <row r="343" spans="8:27" x14ac:dyDescent="0.2">
      <c r="H343" s="22"/>
      <c r="N343" s="22"/>
      <c r="U343" s="22"/>
      <c r="AA343" s="22"/>
    </row>
    <row r="344" spans="8:27" x14ac:dyDescent="0.2">
      <c r="H344" s="22"/>
      <c r="N344" s="22"/>
      <c r="U344" s="22"/>
      <c r="AA344" s="22"/>
    </row>
    <row r="345" spans="8:27" x14ac:dyDescent="0.2">
      <c r="H345" s="22"/>
      <c r="N345" s="22"/>
      <c r="U345" s="22"/>
      <c r="AA345" s="22"/>
    </row>
    <row r="346" spans="8:27" x14ac:dyDescent="0.2">
      <c r="H346" s="22"/>
      <c r="N346" s="22"/>
      <c r="U346" s="22"/>
      <c r="AA346" s="22"/>
    </row>
    <row r="347" spans="8:27" x14ac:dyDescent="0.2">
      <c r="H347" s="22"/>
      <c r="N347" s="22"/>
      <c r="U347" s="22"/>
      <c r="AA347" s="22"/>
    </row>
    <row r="348" spans="8:27" x14ac:dyDescent="0.2">
      <c r="H348" s="22"/>
      <c r="N348" s="22"/>
      <c r="U348" s="22"/>
      <c r="AA348" s="22"/>
    </row>
    <row r="349" spans="8:27" x14ac:dyDescent="0.2">
      <c r="H349" s="22"/>
      <c r="N349" s="22"/>
      <c r="U349" s="22"/>
      <c r="AA349" s="22"/>
    </row>
    <row r="350" spans="8:27" x14ac:dyDescent="0.2">
      <c r="H350" s="22"/>
      <c r="N350" s="22"/>
      <c r="U350" s="22"/>
      <c r="AA350" s="22"/>
    </row>
    <row r="351" spans="8:27" x14ac:dyDescent="0.2">
      <c r="H351" s="22"/>
      <c r="N351" s="22"/>
      <c r="U351" s="22"/>
      <c r="AA351" s="22"/>
    </row>
    <row r="352" spans="8:27" x14ac:dyDescent="0.2">
      <c r="H352" s="22"/>
      <c r="N352" s="22"/>
      <c r="U352" s="22"/>
      <c r="AA352" s="22"/>
    </row>
    <row r="353" spans="8:27" x14ac:dyDescent="0.2">
      <c r="H353" s="22"/>
      <c r="N353" s="22"/>
      <c r="U353" s="22"/>
      <c r="AA353" s="22"/>
    </row>
    <row r="354" spans="8:27" x14ac:dyDescent="0.2">
      <c r="H354" s="22"/>
      <c r="N354" s="22"/>
      <c r="U354" s="22"/>
      <c r="AA354" s="22"/>
    </row>
    <row r="355" spans="8:27" x14ac:dyDescent="0.2">
      <c r="H355" s="22"/>
      <c r="N355" s="22"/>
      <c r="U355" s="22"/>
      <c r="AA355" s="22"/>
    </row>
    <row r="356" spans="8:27" x14ac:dyDescent="0.2">
      <c r="H356" s="22"/>
      <c r="N356" s="22"/>
      <c r="U356" s="22"/>
      <c r="AA356" s="22"/>
    </row>
    <row r="357" spans="8:27" x14ac:dyDescent="0.2">
      <c r="H357" s="22"/>
      <c r="N357" s="22"/>
      <c r="U357" s="22"/>
      <c r="AA357" s="22"/>
    </row>
    <row r="358" spans="8:27" x14ac:dyDescent="0.2">
      <c r="H358" s="22"/>
      <c r="N358" s="22"/>
      <c r="U358" s="22"/>
      <c r="AA358" s="22"/>
    </row>
    <row r="359" spans="8:27" x14ac:dyDescent="0.2">
      <c r="H359" s="22"/>
      <c r="N359" s="22"/>
      <c r="U359" s="22"/>
      <c r="AA359" s="22"/>
    </row>
    <row r="360" spans="8:27" x14ac:dyDescent="0.2">
      <c r="H360" s="22"/>
      <c r="N360" s="22"/>
      <c r="U360" s="22"/>
      <c r="AA360" s="22"/>
    </row>
    <row r="361" spans="8:27" x14ac:dyDescent="0.2">
      <c r="H361" s="22"/>
      <c r="N361" s="22"/>
      <c r="U361" s="22"/>
      <c r="AA361" s="22"/>
    </row>
    <row r="362" spans="8:27" x14ac:dyDescent="0.2">
      <c r="H362" s="22"/>
      <c r="N362" s="22"/>
      <c r="U362" s="22"/>
      <c r="AA362" s="22"/>
    </row>
    <row r="363" spans="8:27" x14ac:dyDescent="0.2">
      <c r="H363" s="22"/>
      <c r="N363" s="22"/>
      <c r="U363" s="22"/>
      <c r="AA363" s="22"/>
    </row>
    <row r="364" spans="8:27" x14ac:dyDescent="0.2">
      <c r="H364" s="22"/>
      <c r="N364" s="22"/>
      <c r="U364" s="22"/>
      <c r="AA364" s="22"/>
    </row>
    <row r="365" spans="8:27" x14ac:dyDescent="0.2">
      <c r="H365" s="22"/>
      <c r="N365" s="22"/>
      <c r="U365" s="22"/>
      <c r="AA365" s="22"/>
    </row>
    <row r="366" spans="8:27" x14ac:dyDescent="0.2">
      <c r="H366" s="22"/>
      <c r="N366" s="22"/>
      <c r="U366" s="22"/>
      <c r="AA366" s="22"/>
    </row>
    <row r="367" spans="8:27" x14ac:dyDescent="0.2">
      <c r="H367" s="22"/>
      <c r="N367" s="22"/>
      <c r="U367" s="22"/>
      <c r="AA367" s="22"/>
    </row>
    <row r="368" spans="8:27" x14ac:dyDescent="0.2">
      <c r="H368" s="22"/>
      <c r="N368" s="22"/>
      <c r="U368" s="22"/>
      <c r="AA368" s="22"/>
    </row>
    <row r="369" spans="8:27" x14ac:dyDescent="0.2">
      <c r="H369" s="22"/>
      <c r="N369" s="22"/>
      <c r="U369" s="22"/>
      <c r="AA369" s="22"/>
    </row>
    <row r="370" spans="8:27" x14ac:dyDescent="0.2">
      <c r="H370" s="22"/>
      <c r="N370" s="22"/>
      <c r="U370" s="22"/>
      <c r="AA370" s="22"/>
    </row>
    <row r="371" spans="8:27" x14ac:dyDescent="0.2">
      <c r="H371" s="22"/>
      <c r="N371" s="22"/>
      <c r="U371" s="22"/>
      <c r="AA371" s="22"/>
    </row>
    <row r="372" spans="8:27" x14ac:dyDescent="0.2">
      <c r="H372" s="22"/>
      <c r="N372" s="22"/>
      <c r="U372" s="22"/>
      <c r="AA372" s="22"/>
    </row>
    <row r="373" spans="8:27" x14ac:dyDescent="0.2">
      <c r="H373" s="22"/>
      <c r="N373" s="22"/>
      <c r="U373" s="22"/>
      <c r="AA373" s="22"/>
    </row>
    <row r="374" spans="8:27" x14ac:dyDescent="0.2">
      <c r="H374" s="22"/>
      <c r="N374" s="22"/>
      <c r="U374" s="22"/>
      <c r="AA374" s="22"/>
    </row>
    <row r="375" spans="8:27" x14ac:dyDescent="0.2">
      <c r="H375" s="22"/>
      <c r="N375" s="22"/>
      <c r="U375" s="22"/>
      <c r="AA375" s="22"/>
    </row>
    <row r="376" spans="8:27" x14ac:dyDescent="0.2">
      <c r="H376" s="22"/>
      <c r="N376" s="22"/>
      <c r="U376" s="22"/>
      <c r="AA376" s="22"/>
    </row>
    <row r="377" spans="8:27" x14ac:dyDescent="0.2">
      <c r="H377" s="22"/>
      <c r="N377" s="22"/>
      <c r="U377" s="22"/>
      <c r="AA377" s="22"/>
    </row>
    <row r="378" spans="8:27" x14ac:dyDescent="0.2">
      <c r="H378" s="22"/>
      <c r="N378" s="22"/>
      <c r="U378" s="22"/>
      <c r="AA378" s="22"/>
    </row>
    <row r="379" spans="8:27" x14ac:dyDescent="0.2">
      <c r="H379" s="22"/>
      <c r="N379" s="22"/>
      <c r="U379" s="22"/>
      <c r="AA379" s="22"/>
    </row>
    <row r="380" spans="8:27" x14ac:dyDescent="0.2">
      <c r="H380" s="22"/>
      <c r="N380" s="22"/>
      <c r="U380" s="22"/>
      <c r="AA380" s="22"/>
    </row>
    <row r="381" spans="8:27" x14ac:dyDescent="0.2">
      <c r="H381" s="22"/>
      <c r="N381" s="22"/>
      <c r="U381" s="22"/>
      <c r="AA381" s="22"/>
    </row>
    <row r="382" spans="8:27" x14ac:dyDescent="0.2">
      <c r="H382" s="22"/>
      <c r="N382" s="22"/>
      <c r="U382" s="22"/>
      <c r="AA382" s="22"/>
    </row>
    <row r="383" spans="8:27" x14ac:dyDescent="0.2">
      <c r="H383" s="22"/>
      <c r="N383" s="22"/>
      <c r="U383" s="22"/>
      <c r="AA383" s="22"/>
    </row>
    <row r="384" spans="8:27" x14ac:dyDescent="0.2">
      <c r="H384" s="22"/>
      <c r="N384" s="22"/>
      <c r="U384" s="22"/>
      <c r="AA384" s="22"/>
    </row>
    <row r="385" spans="8:27" x14ac:dyDescent="0.2">
      <c r="H385" s="22"/>
      <c r="N385" s="22"/>
      <c r="U385" s="22"/>
      <c r="AA385" s="22"/>
    </row>
    <row r="386" spans="8:27" x14ac:dyDescent="0.2">
      <c r="H386" s="22"/>
      <c r="N386" s="22"/>
      <c r="U386" s="22"/>
      <c r="AA386" s="22"/>
    </row>
    <row r="387" spans="8:27" x14ac:dyDescent="0.2">
      <c r="H387" s="22"/>
      <c r="N387" s="22"/>
      <c r="U387" s="22"/>
      <c r="AA387" s="22"/>
    </row>
    <row r="388" spans="8:27" x14ac:dyDescent="0.2">
      <c r="H388" s="22"/>
      <c r="N388" s="22"/>
      <c r="U388" s="22"/>
      <c r="AA388" s="22"/>
    </row>
    <row r="389" spans="8:27" x14ac:dyDescent="0.2">
      <c r="H389" s="22"/>
      <c r="N389" s="22"/>
      <c r="U389" s="22"/>
      <c r="AA389" s="22"/>
    </row>
    <row r="390" spans="8:27" x14ac:dyDescent="0.2">
      <c r="H390" s="22"/>
      <c r="N390" s="22"/>
      <c r="U390" s="22"/>
      <c r="AA390" s="22"/>
    </row>
    <row r="391" spans="8:27" x14ac:dyDescent="0.2">
      <c r="H391" s="22"/>
      <c r="N391" s="22"/>
      <c r="U391" s="22"/>
      <c r="AA391" s="22"/>
    </row>
    <row r="392" spans="8:27" x14ac:dyDescent="0.2">
      <c r="H392" s="22"/>
      <c r="N392" s="22"/>
      <c r="U392" s="22"/>
      <c r="AA392" s="22"/>
    </row>
    <row r="393" spans="8:27" x14ac:dyDescent="0.2">
      <c r="H393" s="22"/>
      <c r="N393" s="22"/>
      <c r="U393" s="22"/>
      <c r="AA393" s="22"/>
    </row>
    <row r="394" spans="8:27" x14ac:dyDescent="0.2">
      <c r="H394" s="22"/>
      <c r="N394" s="22"/>
      <c r="U394" s="22"/>
      <c r="AA394" s="22"/>
    </row>
    <row r="395" spans="8:27" x14ac:dyDescent="0.2">
      <c r="H395" s="22"/>
      <c r="N395" s="22"/>
      <c r="U395" s="22"/>
      <c r="AA395" s="22"/>
    </row>
    <row r="396" spans="8:27" x14ac:dyDescent="0.2">
      <c r="H396" s="22"/>
      <c r="N396" s="22"/>
      <c r="U396" s="22"/>
      <c r="AA396" s="22"/>
    </row>
    <row r="397" spans="8:27" x14ac:dyDescent="0.2">
      <c r="H397" s="22"/>
      <c r="N397" s="22"/>
      <c r="U397" s="22"/>
      <c r="AA397" s="22"/>
    </row>
    <row r="398" spans="8:27" x14ac:dyDescent="0.2">
      <c r="H398" s="22"/>
      <c r="N398" s="22"/>
      <c r="U398" s="22"/>
      <c r="AA398" s="22"/>
    </row>
    <row r="399" spans="8:27" x14ac:dyDescent="0.2">
      <c r="H399" s="22"/>
      <c r="N399" s="22"/>
      <c r="U399" s="22"/>
      <c r="AA399" s="22"/>
    </row>
    <row r="400" spans="8:27" x14ac:dyDescent="0.2">
      <c r="H400" s="22"/>
      <c r="N400" s="22"/>
      <c r="U400" s="22"/>
      <c r="AA400" s="22"/>
    </row>
    <row r="401" spans="8:27" x14ac:dyDescent="0.2">
      <c r="H401" s="22"/>
      <c r="N401" s="22"/>
      <c r="U401" s="22"/>
      <c r="AA401" s="22"/>
    </row>
    <row r="402" spans="8:27" x14ac:dyDescent="0.2">
      <c r="H402" s="22"/>
      <c r="N402" s="22"/>
      <c r="U402" s="22"/>
      <c r="AA402" s="22"/>
    </row>
    <row r="403" spans="8:27" x14ac:dyDescent="0.2">
      <c r="H403" s="22"/>
      <c r="N403" s="22"/>
      <c r="U403" s="22"/>
      <c r="AA403" s="22"/>
    </row>
    <row r="404" spans="8:27" x14ac:dyDescent="0.2">
      <c r="H404" s="22"/>
      <c r="N404" s="22"/>
      <c r="U404" s="22"/>
      <c r="AA404" s="22"/>
    </row>
    <row r="405" spans="8:27" x14ac:dyDescent="0.2">
      <c r="H405" s="22"/>
      <c r="N405" s="22"/>
      <c r="U405" s="22"/>
      <c r="AA405" s="22"/>
    </row>
    <row r="406" spans="8:27" x14ac:dyDescent="0.2">
      <c r="H406" s="22"/>
      <c r="N406" s="22"/>
      <c r="U406" s="22"/>
      <c r="AA406" s="22"/>
    </row>
    <row r="407" spans="8:27" x14ac:dyDescent="0.2">
      <c r="H407" s="22"/>
      <c r="N407" s="22"/>
      <c r="U407" s="22"/>
      <c r="AA407" s="22"/>
    </row>
    <row r="408" spans="8:27" x14ac:dyDescent="0.2">
      <c r="H408" s="22"/>
      <c r="N408" s="22"/>
      <c r="U408" s="22"/>
      <c r="AA408" s="22"/>
    </row>
    <row r="409" spans="8:27" x14ac:dyDescent="0.2">
      <c r="H409" s="22"/>
      <c r="N409" s="22"/>
      <c r="U409" s="22"/>
      <c r="AA409" s="22"/>
    </row>
    <row r="410" spans="8:27" x14ac:dyDescent="0.2">
      <c r="H410" s="22"/>
      <c r="N410" s="22"/>
      <c r="U410" s="22"/>
      <c r="AA410" s="22"/>
    </row>
    <row r="411" spans="8:27" x14ac:dyDescent="0.2">
      <c r="H411" s="22"/>
      <c r="N411" s="22"/>
      <c r="U411" s="22"/>
      <c r="AA411" s="22"/>
    </row>
    <row r="412" spans="8:27" x14ac:dyDescent="0.2">
      <c r="H412" s="22"/>
      <c r="N412" s="22"/>
      <c r="U412" s="22"/>
      <c r="AA412" s="22"/>
    </row>
    <row r="413" spans="8:27" x14ac:dyDescent="0.2">
      <c r="H413" s="22"/>
      <c r="N413" s="22"/>
      <c r="U413" s="22"/>
      <c r="AA413" s="22"/>
    </row>
    <row r="414" spans="8:27" x14ac:dyDescent="0.2">
      <c r="H414" s="22"/>
      <c r="N414" s="22"/>
      <c r="U414" s="22"/>
      <c r="AA414" s="22"/>
    </row>
    <row r="415" spans="8:27" x14ac:dyDescent="0.2">
      <c r="H415" s="22"/>
      <c r="N415" s="22"/>
      <c r="U415" s="22"/>
      <c r="AA415" s="22"/>
    </row>
    <row r="416" spans="8:27" x14ac:dyDescent="0.2">
      <c r="H416" s="22"/>
      <c r="N416" s="22"/>
      <c r="U416" s="22"/>
      <c r="AA416" s="22"/>
    </row>
    <row r="417" spans="8:27" x14ac:dyDescent="0.2">
      <c r="H417" s="22"/>
      <c r="N417" s="22"/>
      <c r="U417" s="22"/>
      <c r="AA417" s="22"/>
    </row>
    <row r="418" spans="8:27" x14ac:dyDescent="0.2">
      <c r="H418" s="22"/>
      <c r="N418" s="22"/>
      <c r="U418" s="22"/>
      <c r="AA418" s="22"/>
    </row>
    <row r="419" spans="8:27" x14ac:dyDescent="0.2">
      <c r="H419" s="22"/>
      <c r="N419" s="22"/>
      <c r="U419" s="22"/>
      <c r="AA419" s="22"/>
    </row>
    <row r="420" spans="8:27" x14ac:dyDescent="0.2">
      <c r="H420" s="22"/>
      <c r="N420" s="22"/>
      <c r="U420" s="22"/>
      <c r="AA420" s="22"/>
    </row>
    <row r="421" spans="8:27" x14ac:dyDescent="0.2">
      <c r="H421" s="22"/>
      <c r="N421" s="22"/>
      <c r="U421" s="22"/>
      <c r="AA421" s="22"/>
    </row>
    <row r="422" spans="8:27" x14ac:dyDescent="0.2">
      <c r="H422" s="22"/>
      <c r="N422" s="22"/>
      <c r="U422" s="22"/>
      <c r="AA422" s="22"/>
    </row>
    <row r="423" spans="8:27" x14ac:dyDescent="0.2">
      <c r="H423" s="22"/>
      <c r="N423" s="22"/>
      <c r="U423" s="22"/>
      <c r="AA423" s="22"/>
    </row>
    <row r="424" spans="8:27" x14ac:dyDescent="0.2">
      <c r="H424" s="22"/>
      <c r="N424" s="22"/>
      <c r="U424" s="22"/>
      <c r="AA424" s="22"/>
    </row>
    <row r="425" spans="8:27" x14ac:dyDescent="0.2">
      <c r="H425" s="22"/>
      <c r="N425" s="22"/>
      <c r="U425" s="22"/>
      <c r="AA425" s="22"/>
    </row>
    <row r="426" spans="8:27" x14ac:dyDescent="0.2">
      <c r="H426" s="22"/>
      <c r="N426" s="22"/>
      <c r="U426" s="22"/>
      <c r="AA426" s="22"/>
    </row>
    <row r="427" spans="8:27" x14ac:dyDescent="0.2">
      <c r="H427" s="22"/>
      <c r="N427" s="22"/>
      <c r="U427" s="22"/>
      <c r="AA427" s="22"/>
    </row>
    <row r="428" spans="8:27" x14ac:dyDescent="0.2">
      <c r="H428" s="22"/>
      <c r="N428" s="22"/>
      <c r="U428" s="22"/>
      <c r="AA428" s="22"/>
    </row>
    <row r="429" spans="8:27" x14ac:dyDescent="0.2">
      <c r="H429" s="22"/>
      <c r="N429" s="22"/>
      <c r="U429" s="22"/>
      <c r="AA429" s="22"/>
    </row>
    <row r="430" spans="8:27" x14ac:dyDescent="0.2">
      <c r="H430" s="22"/>
      <c r="N430" s="22"/>
      <c r="U430" s="22"/>
      <c r="AA430" s="22"/>
    </row>
    <row r="431" spans="8:27" x14ac:dyDescent="0.2">
      <c r="H431" s="22"/>
      <c r="N431" s="22"/>
      <c r="U431" s="22"/>
      <c r="AA431" s="22"/>
    </row>
    <row r="432" spans="8:27" x14ac:dyDescent="0.2">
      <c r="H432" s="22"/>
      <c r="N432" s="22"/>
      <c r="U432" s="22"/>
      <c r="AA432" s="22"/>
    </row>
    <row r="433" spans="8:27" x14ac:dyDescent="0.2">
      <c r="H433" s="22"/>
      <c r="N433" s="22"/>
      <c r="U433" s="22"/>
      <c r="AA433" s="22"/>
    </row>
    <row r="434" spans="8:27" x14ac:dyDescent="0.2">
      <c r="H434" s="22"/>
      <c r="N434" s="22"/>
      <c r="U434" s="22"/>
      <c r="AA434" s="22"/>
    </row>
    <row r="435" spans="8:27" x14ac:dyDescent="0.2">
      <c r="H435" s="22"/>
      <c r="N435" s="22"/>
      <c r="U435" s="22"/>
      <c r="AA435" s="22"/>
    </row>
    <row r="436" spans="8:27" x14ac:dyDescent="0.2">
      <c r="H436" s="22"/>
      <c r="N436" s="22"/>
      <c r="U436" s="22"/>
      <c r="AA436" s="22"/>
    </row>
    <row r="437" spans="8:27" x14ac:dyDescent="0.2">
      <c r="H437" s="22"/>
      <c r="N437" s="22"/>
      <c r="U437" s="22"/>
      <c r="AA437" s="22"/>
    </row>
    <row r="438" spans="8:27" x14ac:dyDescent="0.2">
      <c r="H438" s="22"/>
      <c r="N438" s="22"/>
      <c r="U438" s="22"/>
      <c r="AA438" s="22"/>
    </row>
    <row r="439" spans="8:27" x14ac:dyDescent="0.2">
      <c r="H439" s="22"/>
      <c r="N439" s="22"/>
      <c r="U439" s="22"/>
      <c r="AA439" s="22"/>
    </row>
    <row r="440" spans="8:27" x14ac:dyDescent="0.2">
      <c r="H440" s="22"/>
      <c r="N440" s="22"/>
      <c r="U440" s="22"/>
      <c r="AA440" s="22"/>
    </row>
    <row r="441" spans="8:27" x14ac:dyDescent="0.2">
      <c r="H441" s="22"/>
      <c r="N441" s="22"/>
      <c r="U441" s="22"/>
      <c r="AA441" s="22"/>
    </row>
    <row r="442" spans="8:27" x14ac:dyDescent="0.2">
      <c r="H442" s="22"/>
      <c r="N442" s="22"/>
      <c r="U442" s="22"/>
      <c r="AA442" s="22"/>
    </row>
    <row r="443" spans="8:27" x14ac:dyDescent="0.2">
      <c r="H443" s="22"/>
      <c r="N443" s="22"/>
      <c r="U443" s="22"/>
      <c r="AA443" s="22"/>
    </row>
    <row r="444" spans="8:27" x14ac:dyDescent="0.2">
      <c r="H444" s="22"/>
      <c r="N444" s="22"/>
      <c r="U444" s="22"/>
      <c r="AA444" s="22"/>
    </row>
    <row r="445" spans="8:27" x14ac:dyDescent="0.2">
      <c r="H445" s="22"/>
      <c r="N445" s="22"/>
      <c r="U445" s="22"/>
      <c r="AA445" s="22"/>
    </row>
    <row r="446" spans="8:27" x14ac:dyDescent="0.2">
      <c r="H446" s="22"/>
      <c r="N446" s="22"/>
      <c r="U446" s="22"/>
      <c r="AA446" s="22"/>
    </row>
    <row r="447" spans="8:27" x14ac:dyDescent="0.2">
      <c r="H447" s="22"/>
      <c r="N447" s="22"/>
      <c r="U447" s="22"/>
      <c r="AA447" s="22"/>
    </row>
    <row r="448" spans="8:27" x14ac:dyDescent="0.2">
      <c r="H448" s="22"/>
      <c r="N448" s="22"/>
      <c r="U448" s="22"/>
      <c r="AA448" s="22"/>
    </row>
    <row r="449" spans="8:27" x14ac:dyDescent="0.2">
      <c r="H449" s="22"/>
      <c r="N449" s="22"/>
      <c r="U449" s="22"/>
      <c r="AA449" s="22"/>
    </row>
    <row r="450" spans="8:27" x14ac:dyDescent="0.2">
      <c r="H450" s="22"/>
      <c r="N450" s="22"/>
      <c r="U450" s="22"/>
      <c r="AA450" s="22"/>
    </row>
    <row r="451" spans="8:27" x14ac:dyDescent="0.2">
      <c r="H451" s="22"/>
      <c r="N451" s="22"/>
      <c r="U451" s="22"/>
      <c r="AA451" s="22"/>
    </row>
    <row r="452" spans="8:27" x14ac:dyDescent="0.2">
      <c r="H452" s="22"/>
      <c r="N452" s="22"/>
      <c r="U452" s="22"/>
      <c r="AA452" s="22"/>
    </row>
    <row r="453" spans="8:27" x14ac:dyDescent="0.2">
      <c r="H453" s="22"/>
      <c r="N453" s="22"/>
      <c r="U453" s="22"/>
      <c r="AA453" s="22"/>
    </row>
    <row r="454" spans="8:27" x14ac:dyDescent="0.2">
      <c r="H454" s="22"/>
      <c r="N454" s="22"/>
      <c r="U454" s="22"/>
      <c r="AA454" s="22"/>
    </row>
    <row r="455" spans="8:27" x14ac:dyDescent="0.2">
      <c r="H455" s="22"/>
      <c r="N455" s="22"/>
      <c r="U455" s="22"/>
      <c r="AA455" s="22"/>
    </row>
    <row r="456" spans="8:27" x14ac:dyDescent="0.2">
      <c r="H456" s="22"/>
      <c r="N456" s="22"/>
      <c r="U456" s="22"/>
      <c r="AA456" s="22"/>
    </row>
    <row r="457" spans="8:27" x14ac:dyDescent="0.2">
      <c r="H457" s="22"/>
      <c r="N457" s="22"/>
      <c r="U457" s="22"/>
      <c r="AA457" s="22"/>
    </row>
    <row r="458" spans="8:27" x14ac:dyDescent="0.2">
      <c r="H458" s="22"/>
      <c r="N458" s="22"/>
      <c r="U458" s="22"/>
      <c r="AA458" s="22"/>
    </row>
    <row r="459" spans="8:27" x14ac:dyDescent="0.2">
      <c r="H459" s="22"/>
      <c r="N459" s="22"/>
      <c r="U459" s="22"/>
      <c r="AA459" s="22"/>
    </row>
    <row r="460" spans="8:27" x14ac:dyDescent="0.2">
      <c r="H460" s="22"/>
      <c r="N460" s="22"/>
      <c r="U460" s="22"/>
      <c r="AA460" s="22"/>
    </row>
    <row r="461" spans="8:27" x14ac:dyDescent="0.2">
      <c r="H461" s="22"/>
      <c r="N461" s="22"/>
      <c r="U461" s="22"/>
      <c r="AA461" s="22"/>
    </row>
    <row r="462" spans="8:27" x14ac:dyDescent="0.2">
      <c r="H462" s="22"/>
      <c r="N462" s="22"/>
      <c r="U462" s="22"/>
      <c r="AA462" s="22"/>
    </row>
    <row r="463" spans="8:27" x14ac:dyDescent="0.2">
      <c r="H463" s="22"/>
      <c r="N463" s="22"/>
      <c r="U463" s="22"/>
      <c r="AA463" s="22"/>
    </row>
    <row r="464" spans="8:27" x14ac:dyDescent="0.2">
      <c r="H464" s="22"/>
      <c r="N464" s="22"/>
      <c r="U464" s="22"/>
      <c r="AA464" s="22"/>
    </row>
    <row r="465" spans="8:27" x14ac:dyDescent="0.2">
      <c r="H465" s="22"/>
      <c r="N465" s="22"/>
      <c r="U465" s="22"/>
      <c r="AA465" s="22"/>
    </row>
    <row r="466" spans="8:27" x14ac:dyDescent="0.2">
      <c r="H466" s="22"/>
      <c r="N466" s="22"/>
      <c r="U466" s="22"/>
      <c r="AA466" s="22"/>
    </row>
    <row r="467" spans="8:27" x14ac:dyDescent="0.2">
      <c r="H467" s="22"/>
      <c r="N467" s="22"/>
      <c r="U467" s="22"/>
      <c r="AA467" s="22"/>
    </row>
    <row r="468" spans="8:27" x14ac:dyDescent="0.2">
      <c r="H468" s="22"/>
      <c r="N468" s="22"/>
      <c r="U468" s="22"/>
      <c r="AA468" s="22"/>
    </row>
    <row r="469" spans="8:27" x14ac:dyDescent="0.2">
      <c r="H469" s="22"/>
      <c r="N469" s="22"/>
      <c r="U469" s="22"/>
      <c r="AA469" s="22"/>
    </row>
    <row r="470" spans="8:27" x14ac:dyDescent="0.2">
      <c r="H470" s="22"/>
      <c r="N470" s="22"/>
      <c r="U470" s="22"/>
      <c r="AA470" s="22"/>
    </row>
    <row r="471" spans="8:27" x14ac:dyDescent="0.2">
      <c r="H471" s="22"/>
      <c r="N471" s="22"/>
      <c r="U471" s="22"/>
      <c r="AA471" s="22"/>
    </row>
    <row r="472" spans="8:27" x14ac:dyDescent="0.2">
      <c r="H472" s="22"/>
      <c r="N472" s="22"/>
      <c r="U472" s="22"/>
      <c r="AA472" s="22"/>
    </row>
    <row r="473" spans="8:27" x14ac:dyDescent="0.2">
      <c r="H473" s="22"/>
      <c r="N473" s="22"/>
      <c r="U473" s="22"/>
      <c r="AA473" s="22"/>
    </row>
    <row r="474" spans="8:27" x14ac:dyDescent="0.2">
      <c r="H474" s="22"/>
      <c r="N474" s="22"/>
      <c r="U474" s="22"/>
      <c r="AA474" s="22"/>
    </row>
    <row r="475" spans="8:27" x14ac:dyDescent="0.2">
      <c r="H475" s="22"/>
      <c r="N475" s="22"/>
      <c r="U475" s="22"/>
      <c r="AA475" s="22"/>
    </row>
    <row r="476" spans="8:27" x14ac:dyDescent="0.2">
      <c r="H476" s="22"/>
      <c r="N476" s="22"/>
      <c r="U476" s="22"/>
      <c r="AA476" s="22"/>
    </row>
    <row r="477" spans="8:27" x14ac:dyDescent="0.2">
      <c r="H477" s="22"/>
      <c r="N477" s="22"/>
      <c r="U477" s="22"/>
      <c r="AA477" s="22"/>
    </row>
    <row r="478" spans="8:27" x14ac:dyDescent="0.2">
      <c r="H478" s="22"/>
      <c r="N478" s="22"/>
      <c r="U478" s="22"/>
      <c r="AA478" s="22"/>
    </row>
    <row r="479" spans="8:27" x14ac:dyDescent="0.2">
      <c r="H479" s="22"/>
      <c r="N479" s="22"/>
      <c r="U479" s="22"/>
      <c r="AA479" s="22"/>
    </row>
    <row r="480" spans="8:27" x14ac:dyDescent="0.2">
      <c r="H480" s="22"/>
      <c r="N480" s="22"/>
      <c r="U480" s="22"/>
      <c r="AA480" s="22"/>
    </row>
    <row r="481" spans="8:27" x14ac:dyDescent="0.2">
      <c r="H481" s="22"/>
      <c r="N481" s="22"/>
      <c r="U481" s="22"/>
      <c r="AA481" s="22"/>
    </row>
    <row r="482" spans="8:27" x14ac:dyDescent="0.2">
      <c r="H482" s="22"/>
      <c r="N482" s="22"/>
      <c r="U482" s="22"/>
      <c r="AA482" s="22"/>
    </row>
    <row r="483" spans="8:27" x14ac:dyDescent="0.2">
      <c r="H483" s="22"/>
      <c r="N483" s="22"/>
      <c r="U483" s="22"/>
      <c r="AA483" s="22"/>
    </row>
    <row r="484" spans="8:27" x14ac:dyDescent="0.2">
      <c r="H484" s="22"/>
      <c r="N484" s="22"/>
      <c r="U484" s="22"/>
      <c r="AA484" s="22"/>
    </row>
    <row r="485" spans="8:27" x14ac:dyDescent="0.2">
      <c r="H485" s="22"/>
      <c r="N485" s="22"/>
      <c r="U485" s="22"/>
      <c r="AA485" s="22"/>
    </row>
    <row r="486" spans="8:27" x14ac:dyDescent="0.2">
      <c r="H486" s="22"/>
      <c r="N486" s="22"/>
      <c r="U486" s="22"/>
      <c r="AA486" s="22"/>
    </row>
    <row r="487" spans="8:27" x14ac:dyDescent="0.2">
      <c r="H487" s="22"/>
      <c r="N487" s="22"/>
      <c r="U487" s="22"/>
      <c r="AA487" s="22"/>
    </row>
    <row r="488" spans="8:27" x14ac:dyDescent="0.2">
      <c r="H488" s="22"/>
      <c r="N488" s="22"/>
      <c r="U488" s="22"/>
      <c r="AA488" s="22"/>
    </row>
    <row r="489" spans="8:27" x14ac:dyDescent="0.2">
      <c r="H489" s="22"/>
      <c r="N489" s="22"/>
      <c r="U489" s="22"/>
      <c r="AA489" s="22"/>
    </row>
    <row r="490" spans="8:27" x14ac:dyDescent="0.2">
      <c r="H490" s="22"/>
      <c r="N490" s="22"/>
      <c r="U490" s="22"/>
      <c r="AA490" s="22"/>
    </row>
    <row r="491" spans="8:27" x14ac:dyDescent="0.2">
      <c r="H491" s="22"/>
      <c r="N491" s="22"/>
      <c r="U491" s="22"/>
      <c r="AA491" s="22"/>
    </row>
    <row r="492" spans="8:27" x14ac:dyDescent="0.2">
      <c r="H492" s="22"/>
      <c r="N492" s="22"/>
      <c r="U492" s="22"/>
      <c r="AA492" s="22"/>
    </row>
    <row r="493" spans="8:27" x14ac:dyDescent="0.2">
      <c r="H493" s="22"/>
      <c r="N493" s="22"/>
      <c r="U493" s="22"/>
      <c r="AA493" s="22"/>
    </row>
    <row r="494" spans="8:27" x14ac:dyDescent="0.2">
      <c r="H494" s="22"/>
      <c r="N494" s="22"/>
      <c r="U494" s="22"/>
      <c r="AA494" s="22"/>
    </row>
    <row r="495" spans="8:27" x14ac:dyDescent="0.2">
      <c r="H495" s="22"/>
      <c r="N495" s="22"/>
      <c r="U495" s="22"/>
      <c r="AA495" s="22"/>
    </row>
    <row r="496" spans="8:27" x14ac:dyDescent="0.2">
      <c r="H496" s="22"/>
      <c r="N496" s="22"/>
      <c r="U496" s="22"/>
      <c r="AA496" s="22"/>
    </row>
    <row r="497" spans="8:27" x14ac:dyDescent="0.2">
      <c r="H497" s="22"/>
      <c r="N497" s="22"/>
      <c r="U497" s="22"/>
      <c r="AA497" s="22"/>
    </row>
    <row r="498" spans="8:27" x14ac:dyDescent="0.2">
      <c r="H498" s="22"/>
      <c r="N498" s="22"/>
      <c r="U498" s="22"/>
      <c r="AA498" s="22"/>
    </row>
    <row r="499" spans="8:27" x14ac:dyDescent="0.2">
      <c r="H499" s="22"/>
      <c r="N499" s="22"/>
      <c r="U499" s="22"/>
      <c r="AA499" s="22"/>
    </row>
    <row r="500" spans="8:27" x14ac:dyDescent="0.2">
      <c r="H500" s="22"/>
      <c r="N500" s="22"/>
      <c r="U500" s="22"/>
      <c r="AA500" s="22"/>
    </row>
    <row r="501" spans="8:27" x14ac:dyDescent="0.2">
      <c r="H501" s="22"/>
      <c r="N501" s="22"/>
      <c r="U501" s="22"/>
      <c r="AA501" s="22"/>
    </row>
    <row r="502" spans="8:27" x14ac:dyDescent="0.2">
      <c r="H502" s="22"/>
      <c r="N502" s="22"/>
      <c r="U502" s="22"/>
      <c r="AA502" s="22"/>
    </row>
    <row r="503" spans="8:27" x14ac:dyDescent="0.2">
      <c r="H503" s="22"/>
      <c r="N503" s="22"/>
      <c r="U503" s="22"/>
      <c r="AA503" s="22"/>
    </row>
    <row r="504" spans="8:27" x14ac:dyDescent="0.2">
      <c r="H504" s="22"/>
      <c r="N504" s="22"/>
      <c r="U504" s="22"/>
      <c r="AA504" s="22"/>
    </row>
    <row r="505" spans="8:27" x14ac:dyDescent="0.2">
      <c r="H505" s="22"/>
      <c r="N505" s="22"/>
      <c r="U505" s="22"/>
      <c r="AA505" s="22"/>
    </row>
    <row r="506" spans="8:27" x14ac:dyDescent="0.2">
      <c r="H506" s="22"/>
      <c r="N506" s="22"/>
      <c r="U506" s="22"/>
      <c r="AA506" s="22"/>
    </row>
    <row r="507" spans="8:27" x14ac:dyDescent="0.2">
      <c r="H507" s="22"/>
      <c r="N507" s="22"/>
      <c r="U507" s="22"/>
      <c r="AA507" s="22"/>
    </row>
    <row r="508" spans="8:27" x14ac:dyDescent="0.2">
      <c r="H508" s="22"/>
      <c r="N508" s="22"/>
      <c r="U508" s="22"/>
      <c r="AA508" s="22"/>
    </row>
    <row r="509" spans="8:27" x14ac:dyDescent="0.2">
      <c r="H509" s="22"/>
      <c r="N509" s="22"/>
      <c r="U509" s="22"/>
      <c r="AA509" s="22"/>
    </row>
    <row r="510" spans="8:27" x14ac:dyDescent="0.2">
      <c r="H510" s="22"/>
      <c r="N510" s="22"/>
      <c r="U510" s="22"/>
      <c r="AA510" s="22"/>
    </row>
    <row r="511" spans="8:27" x14ac:dyDescent="0.2">
      <c r="H511" s="22"/>
      <c r="N511" s="22"/>
      <c r="U511" s="22"/>
      <c r="AA511" s="22"/>
    </row>
  </sheetData>
  <sheetProtection algorithmName="SHA-512" hashValue="Qjs3fXxAcOPl0PJE+hV7hoAjYQafOfMEeroAXXWTq4U9sRXit6JjdA/O0j5TnWV4W4T/tf3ahwiWy3/zR8C7EQ==" saltValue="czKLkqJMQ2pmuDVfUsUDOQ==" spinCount="100000" sheet="1" objects="1" scenarios="1"/>
  <mergeCells count="8">
    <mergeCell ref="Q145:S156"/>
    <mergeCell ref="F1:AA1"/>
    <mergeCell ref="D19:H19"/>
    <mergeCell ref="J19:N19"/>
    <mergeCell ref="D2:N2"/>
    <mergeCell ref="Q2:AA2"/>
    <mergeCell ref="Q19:U19"/>
    <mergeCell ref="W19:AA19"/>
  </mergeCells>
  <dataValidations count="1">
    <dataValidation type="list" allowBlank="1" showInputMessage="1" showErrorMessage="1" sqref="D120 Q120" xr:uid="{5D1F4CFB-A0F1-4C10-A126-1A3D363EF4E9}">
      <formula1>kW</formula1>
    </dataValidation>
  </dataValidations>
  <pageMargins left="0.7" right="0.7" top="0.75" bottom="0.75" header="0.3" footer="0.3"/>
  <pageSetup paperSize="9" orientation="portrait" horizontalDpi="3600" verticalDpi="36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5A1D-2230-4A71-8DED-DB79E70FCC4F}">
  <sheetPr codeName="Ark4"/>
  <dimension ref="A1:P32"/>
  <sheetViews>
    <sheetView workbookViewId="0">
      <selection activeCell="G10" sqref="G10"/>
    </sheetView>
  </sheetViews>
  <sheetFormatPr defaultRowHeight="14.25" x14ac:dyDescent="0.2"/>
  <cols>
    <col min="1" max="1" width="9.5" bestFit="1" customWidth="1"/>
    <col min="2" max="2" width="9.75" bestFit="1" customWidth="1"/>
    <col min="3" max="4" width="9.5" bestFit="1" customWidth="1"/>
    <col min="5" max="5" width="7.75" customWidth="1"/>
    <col min="6" max="6" width="11.5" bestFit="1" customWidth="1"/>
    <col min="7" max="7" width="9.625" customWidth="1"/>
    <col min="8" max="8" width="10.625" customWidth="1"/>
    <col min="9" max="9" width="10.5" customWidth="1"/>
    <col min="10" max="10" width="10.125" bestFit="1" customWidth="1"/>
  </cols>
  <sheetData>
    <row r="1" spans="1:16" x14ac:dyDescent="0.2">
      <c r="A1" s="95" t="s">
        <v>103</v>
      </c>
      <c r="B1" s="95" t="s">
        <v>137</v>
      </c>
      <c r="C1" s="94" t="s">
        <v>133</v>
      </c>
      <c r="D1" s="94"/>
      <c r="F1" t="s">
        <v>152</v>
      </c>
      <c r="G1" t="s">
        <v>151</v>
      </c>
    </row>
    <row r="2" spans="1:16" x14ac:dyDescent="0.2">
      <c r="A2" s="95"/>
      <c r="B2" s="95"/>
      <c r="C2" s="63" t="s">
        <v>134</v>
      </c>
      <c r="D2" s="63" t="s">
        <v>135</v>
      </c>
    </row>
    <row r="3" spans="1:16" x14ac:dyDescent="0.2">
      <c r="A3" s="63" t="s">
        <v>138</v>
      </c>
      <c r="B3" s="63" t="s">
        <v>139</v>
      </c>
      <c r="C3" s="63" t="s">
        <v>139</v>
      </c>
      <c r="D3" s="63" t="s">
        <v>139</v>
      </c>
    </row>
    <row r="4" spans="1:16" x14ac:dyDescent="0.2">
      <c r="A4" s="62">
        <v>50</v>
      </c>
      <c r="B4" s="64">
        <v>165000</v>
      </c>
      <c r="C4" s="64">
        <v>150000</v>
      </c>
      <c r="D4" s="64">
        <v>100000</v>
      </c>
      <c r="M4" s="65"/>
      <c r="N4" s="65"/>
      <c r="O4" s="65"/>
      <c r="P4" s="65"/>
    </row>
    <row r="5" spans="1:16" x14ac:dyDescent="0.2">
      <c r="A5" s="62">
        <v>75</v>
      </c>
      <c r="B5" s="64">
        <v>200000</v>
      </c>
      <c r="C5" s="64">
        <v>150000</v>
      </c>
      <c r="D5" s="64">
        <v>100000</v>
      </c>
      <c r="M5" s="65"/>
      <c r="N5" s="65"/>
      <c r="O5" s="65"/>
      <c r="P5" s="65"/>
    </row>
    <row r="6" spans="1:16" x14ac:dyDescent="0.2">
      <c r="A6" s="62" t="s">
        <v>136</v>
      </c>
      <c r="B6" s="64">
        <v>250000</v>
      </c>
      <c r="C6" s="64">
        <v>250000</v>
      </c>
      <c r="D6" s="64">
        <v>225000</v>
      </c>
      <c r="M6" s="65"/>
      <c r="N6" s="65"/>
      <c r="O6" s="65"/>
      <c r="P6" s="65"/>
    </row>
    <row r="7" spans="1:16" x14ac:dyDescent="0.2">
      <c r="A7" s="62" t="s">
        <v>128</v>
      </c>
      <c r="B7" s="64">
        <v>325000</v>
      </c>
      <c r="C7" s="64">
        <v>275000</v>
      </c>
      <c r="D7" s="64">
        <v>225000</v>
      </c>
      <c r="M7" s="65"/>
      <c r="N7" s="65"/>
      <c r="O7" s="65"/>
      <c r="P7" s="65"/>
    </row>
    <row r="8" spans="1:16" x14ac:dyDescent="0.2">
      <c r="A8" s="62" t="s">
        <v>129</v>
      </c>
      <c r="B8" s="64">
        <v>425000</v>
      </c>
      <c r="C8" s="64">
        <v>275000</v>
      </c>
      <c r="D8" s="64">
        <v>225000</v>
      </c>
      <c r="M8" s="65"/>
      <c r="N8" s="65"/>
      <c r="O8" s="65"/>
      <c r="P8" s="65"/>
    </row>
    <row r="9" spans="1:16" x14ac:dyDescent="0.2">
      <c r="A9" s="62" t="s">
        <v>131</v>
      </c>
      <c r="B9" s="64">
        <v>475000</v>
      </c>
      <c r="C9" s="64">
        <v>350000</v>
      </c>
      <c r="D9" s="64">
        <v>250000</v>
      </c>
      <c r="M9" s="65"/>
      <c r="N9" s="65"/>
      <c r="O9" s="65"/>
      <c r="P9" s="65"/>
    </row>
    <row r="10" spans="1:16" x14ac:dyDescent="0.2">
      <c r="A10" s="62" t="s">
        <v>132</v>
      </c>
      <c r="B10" s="64">
        <v>500000</v>
      </c>
      <c r="C10" s="64">
        <v>350000</v>
      </c>
      <c r="D10" s="64">
        <v>250000</v>
      </c>
      <c r="M10" s="65"/>
      <c r="N10" s="65"/>
      <c r="O10" s="65"/>
      <c r="P10" s="65"/>
    </row>
    <row r="12" spans="1:16" x14ac:dyDescent="0.2">
      <c r="A12" s="94" t="s">
        <v>130</v>
      </c>
      <c r="B12" s="94"/>
      <c r="C12" s="94"/>
      <c r="D12" s="94"/>
      <c r="E12" s="94"/>
      <c r="F12" s="94"/>
      <c r="G12" s="94"/>
    </row>
    <row r="13" spans="1:16" x14ac:dyDescent="0.2">
      <c r="A13" s="94" t="s">
        <v>23</v>
      </c>
      <c r="B13" s="94"/>
      <c r="C13" s="94"/>
      <c r="D13" s="94"/>
      <c r="E13" s="94"/>
      <c r="F13" s="94"/>
      <c r="G13" s="94"/>
    </row>
    <row r="14" spans="1:16" x14ac:dyDescent="0.2">
      <c r="A14" s="63">
        <v>1000</v>
      </c>
      <c r="B14" s="63">
        <v>5</v>
      </c>
      <c r="C14" s="63">
        <v>4</v>
      </c>
      <c r="D14" s="63">
        <v>3</v>
      </c>
      <c r="E14" s="63">
        <v>2</v>
      </c>
      <c r="F14" s="66">
        <v>1</v>
      </c>
      <c r="G14" s="63"/>
      <c r="H14" s="63"/>
    </row>
    <row r="15" spans="1:16" x14ac:dyDescent="0.2">
      <c r="A15" s="64">
        <f>ROUNDUP(G15*'TCO-model, flextrafik'!H$118/1000,1)*1000</f>
        <v>0</v>
      </c>
      <c r="B15" s="64">
        <v>400</v>
      </c>
      <c r="C15" s="64">
        <v>315</v>
      </c>
      <c r="D15" s="64">
        <v>250</v>
      </c>
      <c r="E15" s="64">
        <v>175</v>
      </c>
      <c r="F15" s="64">
        <v>100</v>
      </c>
      <c r="G15" s="64">
        <f>50/0.65</f>
        <v>76.92307692307692</v>
      </c>
    </row>
    <row r="16" spans="1:16" x14ac:dyDescent="0.2">
      <c r="A16" s="64">
        <f>ROUNDUP(G16*'TCO-model, flextrafik'!H$118/1000,1)*1000</f>
        <v>0</v>
      </c>
      <c r="B16" s="64">
        <v>630</v>
      </c>
      <c r="C16" s="64">
        <v>500</v>
      </c>
      <c r="D16" s="64">
        <v>355</v>
      </c>
      <c r="E16" s="64">
        <v>250</v>
      </c>
      <c r="F16" s="64">
        <v>125</v>
      </c>
      <c r="G16" s="64">
        <f>75/0.65</f>
        <v>115.38461538461539</v>
      </c>
    </row>
    <row r="17" spans="1:7" x14ac:dyDescent="0.2">
      <c r="A17" s="64">
        <f>ROUNDUP(G17*'TCO-model, flextrafik'!H$118/1000,1)*1000</f>
        <v>0</v>
      </c>
      <c r="B17" s="64">
        <v>800</v>
      </c>
      <c r="C17" s="64">
        <v>630</v>
      </c>
      <c r="D17" s="64">
        <v>500</v>
      </c>
      <c r="E17" s="64">
        <v>315</v>
      </c>
      <c r="F17" s="64">
        <v>175</v>
      </c>
      <c r="G17" s="64">
        <f>100/0.65</f>
        <v>153.84615384615384</v>
      </c>
    </row>
    <row r="18" spans="1:7" x14ac:dyDescent="0.2">
      <c r="A18" s="64">
        <f>ROUNDUP(G18*'TCO-model, flextrafik'!H$118/1000,1)*1000</f>
        <v>0</v>
      </c>
      <c r="B18" s="64">
        <v>1200</v>
      </c>
      <c r="C18" s="64">
        <v>1000</v>
      </c>
      <c r="D18" s="64">
        <v>710</v>
      </c>
      <c r="E18" s="64">
        <v>500</v>
      </c>
      <c r="F18" s="64">
        <v>250</v>
      </c>
      <c r="G18" s="64">
        <f>150/0.65</f>
        <v>230.76923076923077</v>
      </c>
    </row>
    <row r="19" spans="1:7" x14ac:dyDescent="0.2">
      <c r="A19" s="64">
        <f>ROUNDUP(G19*'TCO-model, flextrafik'!H$118/1000,1)*1000</f>
        <v>0</v>
      </c>
      <c r="B19" s="64">
        <v>1900</v>
      </c>
      <c r="C19" s="64">
        <v>1500</v>
      </c>
      <c r="D19" s="64">
        <v>1100</v>
      </c>
      <c r="E19" s="64">
        <v>800</v>
      </c>
      <c r="F19" s="64">
        <v>400</v>
      </c>
      <c r="G19" s="64">
        <f>240/0.65</f>
        <v>369.23076923076923</v>
      </c>
    </row>
    <row r="20" spans="1:7" x14ac:dyDescent="0.2">
      <c r="A20" s="64">
        <f>ROUNDUP(G20*'TCO-model, flextrafik'!H$118/1000,1)*1000</f>
        <v>0</v>
      </c>
      <c r="B20" s="64">
        <v>2300</v>
      </c>
      <c r="C20" s="64">
        <v>1900</v>
      </c>
      <c r="D20" s="64">
        <v>1400</v>
      </c>
      <c r="E20" s="64">
        <v>1000</v>
      </c>
      <c r="F20" s="64">
        <v>500</v>
      </c>
      <c r="G20" s="64">
        <f>300/0.65</f>
        <v>461.53846153846155</v>
      </c>
    </row>
    <row r="21" spans="1:7" x14ac:dyDescent="0.2">
      <c r="A21" s="64">
        <f>ROUNDUP(G21*'TCO-model, flextrafik'!H$118/1000,1)*1000</f>
        <v>0</v>
      </c>
      <c r="B21" s="64">
        <v>2700</v>
      </c>
      <c r="C21" s="64">
        <v>2200</v>
      </c>
      <c r="D21" s="64">
        <v>1700</v>
      </c>
      <c r="E21" s="64">
        <v>1100</v>
      </c>
      <c r="F21" s="64">
        <v>575</v>
      </c>
      <c r="G21" s="64">
        <f>350/0.65</f>
        <v>538.46153846153845</v>
      </c>
    </row>
    <row r="23" spans="1:7" x14ac:dyDescent="0.2">
      <c r="A23" s="94" t="s">
        <v>130</v>
      </c>
      <c r="B23" s="94"/>
      <c r="C23" s="94"/>
      <c r="D23" s="94"/>
      <c r="E23" s="94"/>
      <c r="F23" s="94"/>
      <c r="G23" s="94"/>
    </row>
    <row r="24" spans="1:7" x14ac:dyDescent="0.2">
      <c r="A24" s="94" t="s">
        <v>23</v>
      </c>
      <c r="B24" s="94"/>
      <c r="C24" s="94"/>
      <c r="D24" s="94"/>
      <c r="E24" s="94"/>
      <c r="F24" s="94"/>
      <c r="G24" s="94"/>
    </row>
    <row r="25" spans="1:7" x14ac:dyDescent="0.2">
      <c r="A25" s="63">
        <v>1000</v>
      </c>
      <c r="B25" s="63">
        <v>5</v>
      </c>
      <c r="C25" s="63">
        <v>4</v>
      </c>
      <c r="D25" s="63">
        <v>3</v>
      </c>
      <c r="E25" s="63">
        <v>2</v>
      </c>
      <c r="F25" s="66">
        <v>1</v>
      </c>
      <c r="G25" s="63"/>
    </row>
    <row r="26" spans="1:7" x14ac:dyDescent="0.2">
      <c r="A26" s="64">
        <f>ROUNDUP(G26*'TCO-model, flextrafik'!U$118/1000,1)*1000</f>
        <v>0</v>
      </c>
      <c r="B26" s="64">
        <v>400</v>
      </c>
      <c r="C26" s="64">
        <v>315</v>
      </c>
      <c r="D26" s="64">
        <v>250</v>
      </c>
      <c r="E26" s="64">
        <v>175</v>
      </c>
      <c r="F26" s="64">
        <v>100</v>
      </c>
      <c r="G26" s="64">
        <f>50/0.65</f>
        <v>76.92307692307692</v>
      </c>
    </row>
    <row r="27" spans="1:7" x14ac:dyDescent="0.2">
      <c r="A27" s="64">
        <f>ROUNDUP(G27*'TCO-model, flextrafik'!U$118/1000,1)*1000</f>
        <v>0</v>
      </c>
      <c r="B27" s="64">
        <v>630</v>
      </c>
      <c r="C27" s="64">
        <v>500</v>
      </c>
      <c r="D27" s="64">
        <v>355</v>
      </c>
      <c r="E27" s="64">
        <v>250</v>
      </c>
      <c r="F27" s="64">
        <v>125</v>
      </c>
      <c r="G27" s="64">
        <f>75/0.65</f>
        <v>115.38461538461539</v>
      </c>
    </row>
    <row r="28" spans="1:7" x14ac:dyDescent="0.2">
      <c r="A28" s="64">
        <f>ROUNDUP(G28*'TCO-model, flextrafik'!U$118/1000,1)*1000</f>
        <v>0</v>
      </c>
      <c r="B28" s="64">
        <v>800</v>
      </c>
      <c r="C28" s="64">
        <v>630</v>
      </c>
      <c r="D28" s="64">
        <v>500</v>
      </c>
      <c r="E28" s="64">
        <v>315</v>
      </c>
      <c r="F28" s="64">
        <v>175</v>
      </c>
      <c r="G28" s="64">
        <f>100/0.65</f>
        <v>153.84615384615384</v>
      </c>
    </row>
    <row r="29" spans="1:7" x14ac:dyDescent="0.2">
      <c r="A29" s="64">
        <f>ROUNDUP(G29*'TCO-model, flextrafik'!U$118/1000,1)*1000</f>
        <v>0</v>
      </c>
      <c r="B29" s="64">
        <v>1200</v>
      </c>
      <c r="C29" s="64">
        <v>1000</v>
      </c>
      <c r="D29" s="64">
        <v>710</v>
      </c>
      <c r="E29" s="64">
        <v>500</v>
      </c>
      <c r="F29" s="64">
        <v>250</v>
      </c>
      <c r="G29" s="64">
        <f>150/0.65</f>
        <v>230.76923076923077</v>
      </c>
    </row>
    <row r="30" spans="1:7" x14ac:dyDescent="0.2">
      <c r="A30" s="64">
        <f>ROUNDUP(G30*'TCO-model, flextrafik'!U$118/1000,1)*1000</f>
        <v>0</v>
      </c>
      <c r="B30" s="64">
        <v>1900</v>
      </c>
      <c r="C30" s="64">
        <v>1500</v>
      </c>
      <c r="D30" s="64">
        <v>1100</v>
      </c>
      <c r="E30" s="64">
        <v>800</v>
      </c>
      <c r="F30" s="64">
        <v>400</v>
      </c>
      <c r="G30" s="64">
        <f>240/0.65</f>
        <v>369.23076923076923</v>
      </c>
    </row>
    <row r="31" spans="1:7" x14ac:dyDescent="0.2">
      <c r="A31" s="64">
        <f>ROUNDUP(G31*'TCO-model, flextrafik'!U$118/1000,1)*1000</f>
        <v>0</v>
      </c>
      <c r="B31" s="64">
        <v>2300</v>
      </c>
      <c r="C31" s="64">
        <v>1900</v>
      </c>
      <c r="D31" s="64">
        <v>1400</v>
      </c>
      <c r="E31" s="64">
        <v>1000</v>
      </c>
      <c r="F31" s="64">
        <v>500</v>
      </c>
      <c r="G31" s="64">
        <f>300/0.65</f>
        <v>461.53846153846155</v>
      </c>
    </row>
    <row r="32" spans="1:7" x14ac:dyDescent="0.2">
      <c r="A32" s="64">
        <f>ROUNDUP(G32*'TCO-model, flextrafik'!U$118/1000,1)*1000</f>
        <v>0</v>
      </c>
      <c r="B32" s="64">
        <v>2700</v>
      </c>
      <c r="C32" s="64">
        <v>2200</v>
      </c>
      <c r="D32" s="64">
        <v>1700</v>
      </c>
      <c r="E32" s="64">
        <v>1100</v>
      </c>
      <c r="F32" s="64">
        <v>575</v>
      </c>
      <c r="G32" s="64">
        <f>350/0.65</f>
        <v>538.46153846153845</v>
      </c>
    </row>
  </sheetData>
  <mergeCells count="7">
    <mergeCell ref="A12:G12"/>
    <mergeCell ref="A23:G23"/>
    <mergeCell ref="A24:G24"/>
    <mergeCell ref="A1:A2"/>
    <mergeCell ref="B1:B2"/>
    <mergeCell ref="C1:D1"/>
    <mergeCell ref="A13:G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0C5A0B901E2540A766CF79EE8D89C0" ma:contentTypeVersion="1" ma:contentTypeDescription="Create a new document." ma:contentTypeScope="" ma:versionID="2226ca09557cf3660f60e2f4b06dd720">
  <xsd:schema xmlns:xsd="http://www.w3.org/2001/XMLSchema" xmlns:xs="http://www.w3.org/2001/XMLSchema" xmlns:p="http://schemas.microsoft.com/office/2006/metadata/properties" xmlns:ns2="75b74486-4fc0-4fcf-8dea-8ddef45d8fad" targetNamespace="http://schemas.microsoft.com/office/2006/metadata/properties" ma:root="true" ma:fieldsID="2a7c7d3fe9dc79fc0ad2530e7399db56" ns2:_="">
    <xsd:import namespace="75b74486-4fc0-4fcf-8dea-8ddef45d8fad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74486-4fc0-4fcf-8dea-8ddef45d8fad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75b74486-4fc0-4fcf-8dea-8ddef45d8f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73FC49-2011-46DF-8D65-EC57B00306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74486-4fc0-4fcf-8dea-8ddef45d8f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32F6C-16F5-4866-A280-0D44420CC134}">
  <ds:schemaRefs>
    <ds:schemaRef ds:uri="75b74486-4fc0-4fcf-8dea-8ddef45d8fad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5084DE-185F-43C2-AC0D-A73EA16C7A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</vt:i4>
      </vt:variant>
    </vt:vector>
  </HeadingPairs>
  <TitlesOfParts>
    <vt:vector size="9" baseType="lpstr">
      <vt:lpstr>Vejledning</vt:lpstr>
      <vt:lpstr>TCO-model, flextrafik</vt:lpstr>
      <vt:lpstr>LISTE</vt:lpstr>
      <vt:lpstr>AmpMat1</vt:lpstr>
      <vt:lpstr>AmpMat2</vt:lpstr>
      <vt:lpstr>kW</vt:lpstr>
      <vt:lpstr>Lader</vt:lpstr>
      <vt:lpstr>LadMat1</vt:lpstr>
      <vt:lpstr>LadMat2</vt:lpstr>
    </vt:vector>
  </TitlesOfParts>
  <Company>Trafikselskabet Movia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</dc:creator>
  <cp:lastModifiedBy>Victor Hug</cp:lastModifiedBy>
  <dcterms:created xsi:type="dcterms:W3CDTF">2020-03-23T09:40:52Z</dcterms:created>
  <dcterms:modified xsi:type="dcterms:W3CDTF">2022-07-07T11:13:27Z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0x0101006A0C5A0B901E2540A766CF79EE8D89C0</vt:lpwstr>
  </property>
</Properties>
</file>