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V:\Plan og Klima\Data\Trafikselskabsstatistik\Regnskab\Flextrafik\"/>
    </mc:Choice>
  </mc:AlternateContent>
  <xr:revisionPtr revIDLastSave="0" documentId="13_ncr:1_{9CA10842-3057-4B18-8876-E0C125528D8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Antal rejser pr rejsetype" sheetId="1" r:id="rId1"/>
    <sheet name="Nærmere om åben flextrafik" sheetId="2" r:id="rId2"/>
    <sheet name="Midttrafik" sheetId="3" state="hidden" r:id="rId3"/>
  </sheets>
  <definedNames>
    <definedName name="ID" localSheetId="0" hidden="1">"43957ebe-8f04-41ee-b281-7b807083572d"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2" l="1"/>
  <c r="D12" i="2"/>
  <c r="C12" i="2"/>
  <c r="L12" i="2"/>
  <c r="J12" i="2"/>
  <c r="I12" i="2"/>
  <c r="K12" i="2"/>
  <c r="H12" i="2"/>
  <c r="G12" i="2"/>
  <c r="E12" i="2"/>
  <c r="F51" i="2"/>
  <c r="H51" i="2"/>
  <c r="I51" i="2"/>
  <c r="E66" i="2"/>
  <c r="F66" i="2"/>
  <c r="H66" i="2"/>
  <c r="I66" i="2"/>
  <c r="E79" i="2"/>
  <c r="F79" i="2"/>
  <c r="H79" i="2"/>
  <c r="I79" i="2"/>
  <c r="K78" i="2"/>
  <c r="K74" i="2"/>
  <c r="K79" i="2" s="1"/>
  <c r="K65" i="2"/>
  <c r="K59" i="2"/>
  <c r="K66" i="2" s="1"/>
  <c r="F26" i="2"/>
  <c r="H26" i="2"/>
  <c r="I26" i="2"/>
  <c r="E26" i="2"/>
  <c r="K50" i="2"/>
  <c r="K47" i="2"/>
  <c r="N6" i="1"/>
  <c r="K33" i="1"/>
  <c r="M33" i="1"/>
  <c r="M34" i="1" s="1"/>
  <c r="M38" i="1" s="1"/>
  <c r="L33" i="1"/>
  <c r="L34" i="1" s="1"/>
  <c r="L38" i="1" s="1"/>
  <c r="K51" i="2" l="1"/>
  <c r="K34" i="1"/>
  <c r="K38" i="1" s="1"/>
  <c r="J16" i="3" l="1"/>
  <c r="N9" i="1"/>
  <c r="G51" i="1" s="1"/>
  <c r="N8" i="1"/>
  <c r="G50" i="1" s="1"/>
  <c r="N7" i="1"/>
  <c r="G49" i="1" s="1"/>
  <c r="M9" i="1"/>
  <c r="F51" i="1" s="1"/>
  <c r="M8" i="1"/>
  <c r="F50" i="1" s="1"/>
  <c r="M7" i="1"/>
  <c r="F49" i="1" s="1"/>
  <c r="L9" i="1"/>
  <c r="E51" i="1" s="1"/>
  <c r="L8" i="1"/>
  <c r="E50" i="1" s="1"/>
  <c r="L7" i="1"/>
  <c r="E49" i="1" s="1"/>
  <c r="K9" i="1"/>
  <c r="D51" i="1" s="1"/>
  <c r="K8" i="1"/>
  <c r="D50" i="1" s="1"/>
  <c r="K7" i="1"/>
  <c r="D49" i="1" s="1"/>
  <c r="G7" i="3"/>
  <c r="G16" i="3" s="1"/>
  <c r="I34" i="2" s="1"/>
  <c r="F7" i="3"/>
  <c r="F16" i="3" s="1"/>
  <c r="I7" i="3"/>
  <c r="H34" i="2" l="1"/>
  <c r="K6" i="1"/>
  <c r="L6" i="1"/>
  <c r="H7" i="3"/>
  <c r="H9" i="3"/>
  <c r="H10" i="3"/>
  <c r="H11" i="3"/>
  <c r="H12" i="3"/>
  <c r="H17" i="3" s="1"/>
  <c r="K38" i="2" s="1"/>
  <c r="H13" i="3"/>
  <c r="H8" i="3"/>
  <c r="J17" i="3"/>
  <c r="I17" i="3"/>
  <c r="G17" i="3"/>
  <c r="F17" i="3"/>
  <c r="I16" i="3"/>
  <c r="N10" i="1" l="1"/>
  <c r="G48" i="1" s="1" a="1"/>
  <c r="G48" i="1" s="1"/>
  <c r="F38" i="2"/>
  <c r="L10" i="1"/>
  <c r="E48" i="1" s="1" a="1"/>
  <c r="E48" i="1" s="1"/>
  <c r="I38" i="2"/>
  <c r="K11" i="1"/>
  <c r="M6" i="1"/>
  <c r="F48" i="1" s="1" a="1"/>
  <c r="F48" i="1" s="1"/>
  <c r="E34" i="2"/>
  <c r="F34" i="2"/>
  <c r="H38" i="2"/>
  <c r="K10" i="1"/>
  <c r="D48" i="1" s="1" a="1"/>
  <c r="D48" i="1" s="1"/>
  <c r="E38" i="2"/>
  <c r="M10" i="1"/>
  <c r="L11" i="1"/>
  <c r="H16" i="3"/>
  <c r="K34" i="2" s="1"/>
  <c r="F12" i="2"/>
  <c r="N11" i="1" l="1"/>
  <c r="M11" i="1"/>
  <c r="H39" i="2"/>
  <c r="I39" i="2"/>
  <c r="E39" i="2"/>
  <c r="F39" i="2"/>
  <c r="K22" i="2" l="1"/>
  <c r="K26" i="2" s="1"/>
  <c r="J11" i="2" l="1"/>
  <c r="I11" i="2"/>
  <c r="L11" i="2"/>
  <c r="K11" i="2"/>
  <c r="G52" i="1" l="1"/>
  <c r="F11" i="2"/>
  <c r="E11" i="2"/>
  <c r="K37" i="2"/>
  <c r="K33" i="2"/>
  <c r="K39" i="2" l="1"/>
  <c r="D52" i="1"/>
  <c r="E52" i="1"/>
  <c r="F52" i="1"/>
  <c r="G10" i="1" l="1"/>
  <c r="G17" i="1"/>
  <c r="G24" i="1"/>
  <c r="G31" i="1"/>
  <c r="F38" i="1" l="1"/>
  <c r="E38" i="1"/>
  <c r="D3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<sst xmlns="http://schemas.openxmlformats.org/spreadsheetml/2006/main" count="273" uniqueCount="60">
  <si>
    <t>Antal rejser pr rejsetype pr år
inkl. Movia Flexrute</t>
  </si>
  <si>
    <t>År</t>
  </si>
  <si>
    <t>Rejsetype</t>
  </si>
  <si>
    <t>Brutto omkostning</t>
  </si>
  <si>
    <t>Egenbetaling</t>
  </si>
  <si>
    <t>Antal rejser</t>
  </si>
  <si>
    <t>Direkte rejselængde i km</t>
  </si>
  <si>
    <t>Åben flextrafik inkl. Plus</t>
  </si>
  <si>
    <t>Handicap kørsel</t>
  </si>
  <si>
    <t>Kommunal visiteret</t>
  </si>
  <si>
    <t>Patientbefordring</t>
  </si>
  <si>
    <t>Inkl. Movia Flexrute</t>
  </si>
  <si>
    <t>Movia Flexrute er beregnet med 12 km pr. tur pr. borger</t>
  </si>
  <si>
    <t>FYNBUS</t>
  </si>
  <si>
    <t>MIDTTRAFIK</t>
  </si>
  <si>
    <t>MOVIA</t>
  </si>
  <si>
    <t>NT</t>
  </si>
  <si>
    <t>SYDTRAFIK</t>
  </si>
  <si>
    <t>Åben flextrafik</t>
  </si>
  <si>
    <t>Plustur</t>
  </si>
  <si>
    <t>Brutto omkostninger</t>
  </si>
  <si>
    <t>Netto omkostninger</t>
  </si>
  <si>
    <t>Midttrafik</t>
  </si>
  <si>
    <t>Sydtrafik</t>
  </si>
  <si>
    <t>Antal rejser med Flextur og Plustur</t>
  </si>
  <si>
    <t>Økonomi af rejser på flextur og plustur</t>
  </si>
  <si>
    <t>Egenbetaling i alt</t>
  </si>
  <si>
    <t>FynBus+Sydtrafik</t>
  </si>
  <si>
    <t>FynBus</t>
  </si>
  <si>
    <t>Handicap kørsel (inkl. demens)</t>
  </si>
  <si>
    <t>Åben flexrafik</t>
  </si>
  <si>
    <t>indgår under åben flextrafik</t>
  </si>
  <si>
    <t>Movia</t>
  </si>
  <si>
    <t>Flexhandicap</t>
  </si>
  <si>
    <t>Flexkommune</t>
  </si>
  <si>
    <t>Flexpatient</t>
  </si>
  <si>
    <t>Flextur</t>
  </si>
  <si>
    <t xml:space="preserve">Movia </t>
  </si>
  <si>
    <t>Flexrute - passagerer i stedet for ture</t>
  </si>
  <si>
    <t>Kommunal visiteret inkl Flexrute (Movia)</t>
  </si>
  <si>
    <t>Netto omkostning</t>
  </si>
  <si>
    <t>Rejselængde i km</t>
  </si>
  <si>
    <t>FLEXTUR</t>
  </si>
  <si>
    <t>HANDICAP</t>
  </si>
  <si>
    <t>INSTITUTIONSKØRSEL</t>
  </si>
  <si>
    <t>KOMMUNAL</t>
  </si>
  <si>
    <t>PATIENTBEFORDRING</t>
  </si>
  <si>
    <t>PLUSTUR</t>
  </si>
  <si>
    <t>TELETAXI</t>
  </si>
  <si>
    <t>Åben flextrafik = Flextur, Flextur UNG og Flexbus</t>
  </si>
  <si>
    <t>År 2021</t>
  </si>
  <si>
    <t>Direkte rejselængde i km - udtræk fra SAP på "rejselængde i km"</t>
  </si>
  <si>
    <t>Regnskabstal 2021 - afstemt til økonomisystem og IKKE SAP, da SAP ikke indeholder al vores kørselsbetaling</t>
  </si>
  <si>
    <t xml:space="preserve">        908.737 </t>
  </si>
  <si>
    <t xml:space="preserve">                         21.348.762 </t>
  </si>
  <si>
    <t xml:space="preserve">          295.440.519 </t>
  </si>
  <si>
    <t xml:space="preserve">             8.625.807 </t>
  </si>
  <si>
    <t xml:space="preserve">        1.395.620 </t>
  </si>
  <si>
    <t xml:space="preserve">                         23.130.511 </t>
  </si>
  <si>
    <r>
      <t>Antal re</t>
    </r>
    <r>
      <rPr>
        <b/>
        <sz val="9"/>
        <rFont val="Arial"/>
        <family val="2"/>
      </rPr>
      <t>jser</t>
    </r>
    <r>
      <rPr>
        <b/>
        <vertAlign val="superscript"/>
        <sz val="9"/>
        <rFont val="Arial"/>
        <family val="2"/>
      </rPr>
      <t xml:space="preserve">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</si>
</sst>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"/>
    <numFmt numFmtId="165" formatCode="&quot;kr &quot;#,##0;&quot;kr -&quot;#,##0"/>
    <numFmt numFmtId="166" formatCode="_-* #,##0_-;\-* #,##0_-;_-* &quot;-&quot;??_-;_-@_-"/>
    <numFmt numFmtId="167" formatCode="&quot;Kr. &quot;#,##0"/>
    <numFmt numFmtId="168" formatCode="&quot;kr &quot;#,##0.000000;&quot;kr -&quot;#,##0.000000"/>
  </numFmts>
  <fonts count="15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Calibri Light"/>
      <family val="2"/>
      <scheme val="major"/>
    </font>
    <font>
      <b/>
      <sz val="9"/>
      <color rgb="FF333333"/>
      <name val="Calibri Light"/>
      <family val="2"/>
      <scheme val="major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FFFFFF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CAC9D9"/>
      </bottom>
      <diagonal/>
    </border>
    <border>
      <left/>
      <right/>
      <top style="thin">
        <color rgb="FFDDDDDD"/>
      </top>
      <bottom style="thin">
        <color rgb="FFCAC9D9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/>
      <bottom style="thin">
        <color rgb="FFDDDDDD"/>
      </bottom>
      <diagonal/>
    </border>
    <border>
      <left/>
      <right style="thin">
        <color indexed="64"/>
      </right>
      <top style="thin">
        <color rgb="FFDDDDDD"/>
      </top>
      <bottom style="thin">
        <color rgb="FFCAC9D9"/>
      </bottom>
      <diagonal/>
    </border>
    <border>
      <left style="thin">
        <color indexed="64"/>
      </left>
      <right style="thin">
        <color rgb="FFDDDDDD"/>
      </right>
      <top style="thin">
        <color rgb="FFCAC9D9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indexed="64"/>
      </bottom>
      <diagonal/>
    </border>
    <border>
      <left style="thin">
        <color rgb="FFDDDDDD"/>
      </left>
      <right style="thin">
        <color indexed="64"/>
      </right>
      <top style="thin">
        <color rgb="FFCAC9D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DDDDD"/>
      </left>
      <right/>
      <top style="thin">
        <color indexed="64"/>
      </top>
      <bottom style="thin">
        <color rgb="FFDDDDDD"/>
      </bottom>
      <diagonal/>
    </border>
    <border>
      <left/>
      <right style="thin">
        <color rgb="FFDDDDDD"/>
      </right>
      <top style="thin">
        <color indexed="64"/>
      </top>
      <bottom style="thin">
        <color rgb="FFDDDDDD"/>
      </bottom>
      <diagonal/>
    </border>
    <border>
      <left/>
      <right style="thin">
        <color indexed="64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/>
      <top style="thin">
        <color rgb="FFDDDDDD"/>
      </top>
      <bottom style="thin">
        <color indexed="64"/>
      </bottom>
      <diagonal/>
    </border>
    <border>
      <left/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5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8">
    <xf numFmtId="0" fontId="0" fillId="0" borderId="0" xfId="0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left"/>
    </xf>
    <xf numFmtId="3" fontId="2" fillId="3" borderId="5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49" fontId="2" fillId="4" borderId="9" xfId="0" applyNumberFormat="1" applyFont="1" applyFill="1" applyBorder="1" applyAlignment="1">
      <alignment horizontal="left"/>
    </xf>
    <xf numFmtId="49" fontId="2" fillId="4" borderId="10" xfId="0" applyNumberFormat="1" applyFont="1" applyFill="1" applyBorder="1" applyAlignment="1">
      <alignment horizontal="left"/>
    </xf>
    <xf numFmtId="1" fontId="2" fillId="4" borderId="10" xfId="0" applyNumberFormat="1" applyFont="1" applyFill="1" applyBorder="1" applyAlignment="1">
      <alignment horizontal="left"/>
    </xf>
    <xf numFmtId="3" fontId="2" fillId="4" borderId="11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horizontal="left"/>
    </xf>
    <xf numFmtId="165" fontId="2" fillId="3" borderId="10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left"/>
    </xf>
    <xf numFmtId="3" fontId="2" fillId="3" borderId="10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left"/>
    </xf>
    <xf numFmtId="165" fontId="4" fillId="3" borderId="10" xfId="0" applyNumberFormat="1" applyFont="1" applyFill="1" applyBorder="1" applyAlignment="1">
      <alignment horizontal="right"/>
    </xf>
    <xf numFmtId="3" fontId="4" fillId="3" borderId="11" xfId="0" applyNumberFormat="1" applyFont="1" applyFill="1" applyBorder="1" applyAlignment="1">
      <alignment horizontal="center"/>
    </xf>
    <xf numFmtId="0" fontId="0" fillId="0" borderId="2" xfId="0" applyBorder="1"/>
    <xf numFmtId="3" fontId="2" fillId="3" borderId="11" xfId="1" applyNumberFormat="1" applyFont="1" applyFill="1" applyBorder="1" applyAlignment="1">
      <alignment horizontal="center"/>
    </xf>
    <xf numFmtId="165" fontId="2" fillId="5" borderId="10" xfId="3" applyNumberFormat="1" applyFont="1" applyFill="1" applyBorder="1" applyAlignment="1">
      <alignment horizontal="right"/>
    </xf>
    <xf numFmtId="3" fontId="2" fillId="5" borderId="10" xfId="3" applyNumberFormat="1" applyFont="1" applyFill="1" applyBorder="1" applyAlignment="1">
      <alignment horizontal="right"/>
    </xf>
    <xf numFmtId="3" fontId="2" fillId="5" borderId="11" xfId="3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center"/>
    </xf>
    <xf numFmtId="1" fontId="0" fillId="0" borderId="0" xfId="0" applyNumberFormat="1"/>
    <xf numFmtId="44" fontId="2" fillId="3" borderId="15" xfId="2" applyFont="1" applyFill="1" applyBorder="1" applyAlignment="1">
      <alignment horizontal="right"/>
    </xf>
    <xf numFmtId="3" fontId="2" fillId="3" borderId="15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1" fontId="2" fillId="3" borderId="16" xfId="0" applyNumberFormat="1" applyFont="1" applyFill="1" applyBorder="1" applyAlignment="1">
      <alignment horizontal="right"/>
    </xf>
    <xf numFmtId="44" fontId="4" fillId="3" borderId="17" xfId="2" applyFont="1" applyFill="1" applyBorder="1" applyAlignment="1">
      <alignment horizontal="right"/>
    </xf>
    <xf numFmtId="3" fontId="4" fillId="3" borderId="17" xfId="0" applyNumberFormat="1" applyFont="1" applyFill="1" applyBorder="1" applyAlignment="1">
      <alignment horizontal="right"/>
    </xf>
    <xf numFmtId="4" fontId="0" fillId="0" borderId="0" xfId="0" applyNumberFormat="1"/>
    <xf numFmtId="44" fontId="0" fillId="0" borderId="0" xfId="2" applyFont="1"/>
    <xf numFmtId="44" fontId="0" fillId="0" borderId="0" xfId="2" applyFont="1" applyAlignment="1">
      <alignment horizontal="center"/>
    </xf>
    <xf numFmtId="49" fontId="2" fillId="0" borderId="16" xfId="0" applyNumberFormat="1" applyFont="1" applyBorder="1" applyAlignment="1">
      <alignment horizontal="left"/>
    </xf>
    <xf numFmtId="166" fontId="2" fillId="3" borderId="16" xfId="1" applyNumberFormat="1" applyFont="1" applyFill="1" applyBorder="1" applyAlignment="1">
      <alignment horizontal="right"/>
    </xf>
    <xf numFmtId="166" fontId="4" fillId="3" borderId="17" xfId="1" applyNumberFormat="1" applyFont="1" applyFill="1" applyBorder="1" applyAlignment="1">
      <alignment horizontal="right"/>
    </xf>
    <xf numFmtId="49" fontId="2" fillId="7" borderId="16" xfId="0" applyNumberFormat="1" applyFont="1" applyFill="1" applyBorder="1" applyAlignment="1">
      <alignment horizontal="left"/>
    </xf>
    <xf numFmtId="164" fontId="2" fillId="7" borderId="16" xfId="0" applyNumberFormat="1" applyFont="1" applyFill="1" applyBorder="1" applyAlignment="1">
      <alignment horizontal="right" vertical="center"/>
    </xf>
    <xf numFmtId="164" fontId="4" fillId="7" borderId="17" xfId="0" applyNumberFormat="1" applyFont="1" applyFill="1" applyBorder="1" applyAlignment="1">
      <alignment horizontal="right" vertical="center"/>
    </xf>
    <xf numFmtId="0" fontId="4" fillId="7" borderId="17" xfId="0" applyFont="1" applyFill="1" applyBorder="1" applyAlignment="1">
      <alignment horizontal="left"/>
    </xf>
    <xf numFmtId="165" fontId="4" fillId="7" borderId="17" xfId="0" applyNumberFormat="1" applyFont="1" applyFill="1" applyBorder="1" applyAlignment="1">
      <alignment horizontal="right"/>
    </xf>
    <xf numFmtId="166" fontId="4" fillId="7" borderId="17" xfId="1" applyNumberFormat="1" applyFont="1" applyFill="1" applyBorder="1" applyAlignment="1">
      <alignment horizontal="right"/>
    </xf>
    <xf numFmtId="0" fontId="6" fillId="0" borderId="0" xfId="0" applyFont="1"/>
    <xf numFmtId="0" fontId="7" fillId="9" borderId="24" xfId="0" applyFont="1" applyFill="1" applyBorder="1" applyAlignment="1">
      <alignment horizontal="right" vertical="center" wrapText="1"/>
    </xf>
    <xf numFmtId="0" fontId="7" fillId="9" borderId="24" xfId="0" applyFont="1" applyFill="1" applyBorder="1" applyAlignment="1">
      <alignment horizontal="left" vertical="center" wrapText="1"/>
    </xf>
    <xf numFmtId="4" fontId="7" fillId="9" borderId="24" xfId="0" applyNumberFormat="1" applyFont="1" applyFill="1" applyBorder="1" applyAlignment="1">
      <alignment horizontal="right" vertical="center" wrapText="1"/>
    </xf>
    <xf numFmtId="3" fontId="7" fillId="9" borderId="24" xfId="0" applyNumberFormat="1" applyFont="1" applyFill="1" applyBorder="1" applyAlignment="1">
      <alignment horizontal="right" vertical="center" wrapText="1"/>
    </xf>
    <xf numFmtId="0" fontId="7" fillId="8" borderId="24" xfId="0" applyFont="1" applyFill="1" applyBorder="1" applyAlignment="1">
      <alignment horizontal="left" vertical="center" wrapText="1"/>
    </xf>
    <xf numFmtId="3" fontId="6" fillId="0" borderId="0" xfId="0" applyNumberFormat="1" applyFont="1"/>
    <xf numFmtId="3" fontId="0" fillId="0" borderId="0" xfId="0" applyNumberFormat="1"/>
    <xf numFmtId="165" fontId="2" fillId="7" borderId="16" xfId="0" applyNumberFormat="1" applyFont="1" applyFill="1" applyBorder="1" applyAlignment="1">
      <alignment horizontal="right"/>
    </xf>
    <xf numFmtId="3" fontId="4" fillId="3" borderId="10" xfId="0" applyNumberFormat="1" applyFont="1" applyFill="1" applyBorder="1" applyAlignment="1">
      <alignment horizontal="right"/>
    </xf>
    <xf numFmtId="49" fontId="2" fillId="10" borderId="9" xfId="0" applyNumberFormat="1" applyFont="1" applyFill="1" applyBorder="1" applyAlignment="1">
      <alignment horizontal="left"/>
    </xf>
    <xf numFmtId="49" fontId="2" fillId="10" borderId="10" xfId="0" applyNumberFormat="1" applyFont="1" applyFill="1" applyBorder="1" applyAlignment="1">
      <alignment horizontal="left"/>
    </xf>
    <xf numFmtId="3" fontId="2" fillId="10" borderId="11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left"/>
    </xf>
    <xf numFmtId="165" fontId="4" fillId="3" borderId="13" xfId="0" applyNumberFormat="1" applyFont="1" applyFill="1" applyBorder="1" applyAlignment="1">
      <alignment horizontal="right"/>
    </xf>
    <xf numFmtId="3" fontId="4" fillId="3" borderId="13" xfId="0" applyNumberFormat="1" applyFont="1" applyFill="1" applyBorder="1" applyAlignment="1">
      <alignment horizontal="right"/>
    </xf>
    <xf numFmtId="3" fontId="4" fillId="3" borderId="14" xfId="0" applyNumberFormat="1" applyFont="1" applyFill="1" applyBorder="1" applyAlignment="1">
      <alignment horizontal="center"/>
    </xf>
    <xf numFmtId="164" fontId="2" fillId="7" borderId="17" xfId="0" applyNumberFormat="1" applyFont="1" applyFill="1" applyBorder="1" applyAlignment="1">
      <alignment horizontal="right" vertical="center"/>
    </xf>
    <xf numFmtId="0" fontId="2" fillId="7" borderId="17" xfId="0" applyFont="1" applyFill="1" applyBorder="1" applyAlignment="1">
      <alignment horizontal="left"/>
    </xf>
    <xf numFmtId="164" fontId="4" fillId="7" borderId="16" xfId="0" applyNumberFormat="1" applyFont="1" applyFill="1" applyBorder="1" applyAlignment="1">
      <alignment horizontal="right" vertical="center"/>
    </xf>
    <xf numFmtId="49" fontId="4" fillId="7" borderId="16" xfId="0" applyNumberFormat="1" applyFont="1" applyFill="1" applyBorder="1" applyAlignment="1">
      <alignment horizontal="left"/>
    </xf>
    <xf numFmtId="3" fontId="4" fillId="7" borderId="16" xfId="0" applyNumberFormat="1" applyFont="1" applyFill="1" applyBorder="1" applyAlignment="1">
      <alignment horizontal="right"/>
    </xf>
    <xf numFmtId="166" fontId="4" fillId="3" borderId="16" xfId="1" applyNumberFormat="1" applyFont="1" applyFill="1" applyBorder="1" applyAlignment="1">
      <alignment horizontal="right"/>
    </xf>
    <xf numFmtId="1" fontId="10" fillId="0" borderId="0" xfId="0" applyNumberFormat="1" applyFont="1"/>
    <xf numFmtId="0" fontId="10" fillId="0" borderId="0" xfId="0" applyFont="1"/>
    <xf numFmtId="166" fontId="4" fillId="3" borderId="16" xfId="1" applyNumberFormat="1" applyFont="1" applyFill="1" applyBorder="1" applyAlignment="1">
      <alignment horizontal="right" wrapText="1"/>
    </xf>
    <xf numFmtId="0" fontId="11" fillId="7" borderId="0" xfId="0" applyFont="1" applyFill="1" applyAlignment="1">
      <alignment horizontal="left"/>
    </xf>
    <xf numFmtId="0" fontId="12" fillId="6" borderId="0" xfId="0" applyFont="1" applyFill="1"/>
    <xf numFmtId="49" fontId="13" fillId="7" borderId="18" xfId="0" applyNumberFormat="1" applyFont="1" applyFill="1" applyBorder="1" applyAlignment="1">
      <alignment vertical="center"/>
    </xf>
    <xf numFmtId="49" fontId="8" fillId="7" borderId="16" xfId="0" applyNumberFormat="1" applyFont="1" applyFill="1" applyBorder="1" applyAlignment="1">
      <alignment horizontal="left"/>
    </xf>
    <xf numFmtId="164" fontId="11" fillId="7" borderId="16" xfId="0" applyNumberFormat="1" applyFont="1" applyFill="1" applyBorder="1" applyAlignment="1">
      <alignment horizontal="right"/>
    </xf>
    <xf numFmtId="3" fontId="11" fillId="7" borderId="16" xfId="0" applyNumberFormat="1" applyFont="1" applyFill="1" applyBorder="1" applyAlignment="1">
      <alignment horizontal="right"/>
    </xf>
    <xf numFmtId="3" fontId="11" fillId="6" borderId="16" xfId="0" applyNumberFormat="1" applyFont="1" applyFill="1" applyBorder="1" applyAlignment="1">
      <alignment horizontal="right"/>
    </xf>
    <xf numFmtId="49" fontId="11" fillId="7" borderId="16" xfId="0" applyNumberFormat="1" applyFont="1" applyFill="1" applyBorder="1" applyAlignment="1">
      <alignment horizontal="left" vertical="center"/>
    </xf>
    <xf numFmtId="165" fontId="11" fillId="7" borderId="16" xfId="0" applyNumberFormat="1" applyFont="1" applyFill="1" applyBorder="1" applyAlignment="1">
      <alignment horizontal="right"/>
    </xf>
    <xf numFmtId="49" fontId="11" fillId="7" borderId="15" xfId="0" applyNumberFormat="1" applyFont="1" applyFill="1" applyBorder="1" applyAlignment="1">
      <alignment horizontal="left" vertical="center"/>
    </xf>
    <xf numFmtId="164" fontId="11" fillId="7" borderId="15" xfId="0" applyNumberFormat="1" applyFont="1" applyFill="1" applyBorder="1" applyAlignment="1">
      <alignment horizontal="right"/>
    </xf>
    <xf numFmtId="164" fontId="11" fillId="7" borderId="23" xfId="0" applyNumberFormat="1" applyFont="1" applyFill="1" applyBorder="1" applyAlignment="1">
      <alignment horizontal="right"/>
    </xf>
    <xf numFmtId="165" fontId="12" fillId="6" borderId="0" xfId="0" applyNumberFormat="1" applyFont="1" applyFill="1"/>
    <xf numFmtId="49" fontId="8" fillId="7" borderId="0" xfId="0" applyNumberFormat="1" applyFont="1" applyFill="1" applyAlignment="1">
      <alignment horizontal="left"/>
    </xf>
    <xf numFmtId="0" fontId="8" fillId="7" borderId="0" xfId="0" applyFont="1" applyFill="1" applyAlignment="1">
      <alignment horizontal="left"/>
    </xf>
    <xf numFmtId="168" fontId="12" fillId="6" borderId="0" xfId="0" applyNumberFormat="1" applyFont="1" applyFill="1"/>
    <xf numFmtId="165" fontId="11" fillId="7" borderId="0" xfId="4" applyNumberFormat="1" applyFont="1" applyFill="1" applyBorder="1" applyAlignment="1">
      <alignment horizontal="right"/>
    </xf>
    <xf numFmtId="166" fontId="11" fillId="7" borderId="0" xfId="1" applyNumberFormat="1" applyFont="1" applyFill="1" applyAlignment="1">
      <alignment horizontal="left"/>
    </xf>
    <xf numFmtId="49" fontId="11" fillId="7" borderId="25" xfId="0" applyNumberFormat="1" applyFont="1" applyFill="1" applyBorder="1" applyAlignment="1">
      <alignment horizontal="left" vertical="center"/>
    </xf>
    <xf numFmtId="49" fontId="11" fillId="7" borderId="26" xfId="0" applyNumberFormat="1" applyFont="1" applyFill="1" applyBorder="1" applyAlignment="1">
      <alignment horizontal="left" vertical="center"/>
    </xf>
    <xf numFmtId="164" fontId="11" fillId="7" borderId="26" xfId="0" applyNumberFormat="1" applyFont="1" applyFill="1" applyBorder="1" applyAlignment="1">
      <alignment horizontal="right"/>
    </xf>
    <xf numFmtId="165" fontId="11" fillId="7" borderId="26" xfId="0" applyNumberFormat="1" applyFont="1" applyFill="1" applyBorder="1" applyAlignment="1">
      <alignment horizontal="right"/>
    </xf>
    <xf numFmtId="165" fontId="11" fillId="7" borderId="27" xfId="0" applyNumberFormat="1" applyFont="1" applyFill="1" applyBorder="1" applyAlignment="1">
      <alignment horizontal="right"/>
    </xf>
    <xf numFmtId="0" fontId="11" fillId="7" borderId="28" xfId="0" applyFont="1" applyFill="1" applyBorder="1" applyAlignment="1">
      <alignment horizontal="left" vertical="center"/>
    </xf>
    <xf numFmtId="165" fontId="11" fillId="7" borderId="29" xfId="0" applyNumberFormat="1" applyFont="1" applyFill="1" applyBorder="1" applyAlignment="1">
      <alignment horizontal="right"/>
    </xf>
    <xf numFmtId="0" fontId="11" fillId="7" borderId="30" xfId="0" applyFont="1" applyFill="1" applyBorder="1" applyAlignment="1">
      <alignment horizontal="left" vertical="center"/>
    </xf>
    <xf numFmtId="49" fontId="8" fillId="7" borderId="32" xfId="0" applyNumberFormat="1" applyFont="1" applyFill="1" applyBorder="1" applyAlignment="1">
      <alignment horizontal="left" vertical="center"/>
    </xf>
    <xf numFmtId="0" fontId="8" fillId="7" borderId="33" xfId="0" applyFont="1" applyFill="1" applyBorder="1" applyAlignment="1">
      <alignment horizontal="left" vertical="center"/>
    </xf>
    <xf numFmtId="0" fontId="8" fillId="7" borderId="33" xfId="0" applyFont="1" applyFill="1" applyBorder="1" applyAlignment="1">
      <alignment horizontal="left"/>
    </xf>
    <xf numFmtId="167" fontId="8" fillId="7" borderId="33" xfId="0" applyNumberFormat="1" applyFont="1" applyFill="1" applyBorder="1" applyAlignment="1">
      <alignment horizontal="right"/>
    </xf>
    <xf numFmtId="167" fontId="8" fillId="7" borderId="34" xfId="0" applyNumberFormat="1" applyFont="1" applyFill="1" applyBorder="1" applyAlignment="1">
      <alignment horizontal="right"/>
    </xf>
    <xf numFmtId="0" fontId="12" fillId="6" borderId="35" xfId="0" applyFont="1" applyFill="1" applyBorder="1"/>
    <xf numFmtId="0" fontId="11" fillId="7" borderId="36" xfId="0" applyFont="1" applyFill="1" applyBorder="1" applyAlignment="1">
      <alignment horizontal="left"/>
    </xf>
    <xf numFmtId="49" fontId="11" fillId="7" borderId="26" xfId="0" applyNumberFormat="1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left"/>
    </xf>
    <xf numFmtId="49" fontId="8" fillId="7" borderId="29" xfId="0" applyNumberFormat="1" applyFont="1" applyFill="1" applyBorder="1" applyAlignment="1">
      <alignment horizontal="left"/>
    </xf>
    <xf numFmtId="164" fontId="11" fillId="7" borderId="28" xfId="0" applyNumberFormat="1" applyFont="1" applyFill="1" applyBorder="1" applyAlignment="1">
      <alignment horizontal="right"/>
    </xf>
    <xf numFmtId="3" fontId="11" fillId="7" borderId="29" xfId="0" applyNumberFormat="1" applyFont="1" applyFill="1" applyBorder="1" applyAlignment="1">
      <alignment horizontal="right"/>
    </xf>
    <xf numFmtId="164" fontId="11" fillId="7" borderId="41" xfId="0" applyNumberFormat="1" applyFont="1" applyFill="1" applyBorder="1" applyAlignment="1">
      <alignment horizontal="right"/>
    </xf>
    <xf numFmtId="3" fontId="11" fillId="7" borderId="42" xfId="0" applyNumberFormat="1" applyFont="1" applyFill="1" applyBorder="1" applyAlignment="1">
      <alignment horizontal="right"/>
    </xf>
    <xf numFmtId="3" fontId="11" fillId="6" borderId="42" xfId="0" applyNumberFormat="1" applyFont="1" applyFill="1" applyBorder="1" applyAlignment="1">
      <alignment horizontal="right"/>
    </xf>
    <xf numFmtId="3" fontId="11" fillId="7" borderId="43" xfId="0" applyNumberFormat="1" applyFont="1" applyFill="1" applyBorder="1" applyAlignment="1">
      <alignment horizontal="right"/>
    </xf>
    <xf numFmtId="3" fontId="11" fillId="7" borderId="19" xfId="0" applyNumberFormat="1" applyFont="1" applyFill="1" applyBorder="1" applyAlignment="1">
      <alignment horizontal="right" wrapText="1"/>
    </xf>
    <xf numFmtId="3" fontId="11" fillId="7" borderId="37" xfId="0" applyNumberFormat="1" applyFont="1" applyFill="1" applyBorder="1" applyAlignment="1">
      <alignment horizontal="right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166" fontId="8" fillId="7" borderId="0" xfId="1" applyNumberFormat="1" applyFont="1" applyFill="1" applyAlignment="1">
      <alignment horizontal="left"/>
    </xf>
    <xf numFmtId="49" fontId="8" fillId="7" borderId="0" xfId="0" applyNumberFormat="1" applyFont="1" applyFill="1" applyAlignment="1">
      <alignment horizontal="left"/>
    </xf>
    <xf numFmtId="3" fontId="11" fillId="7" borderId="19" xfId="0" applyNumberFormat="1" applyFont="1" applyFill="1" applyBorder="1" applyAlignment="1">
      <alignment horizontal="right" wrapText="1"/>
    </xf>
    <xf numFmtId="0" fontId="0" fillId="0" borderId="20" xfId="0" applyBorder="1" applyAlignment="1">
      <alignment horizontal="right" wrapText="1"/>
    </xf>
    <xf numFmtId="165" fontId="11" fillId="7" borderId="19" xfId="0" applyNumberFormat="1" applyFont="1" applyFill="1" applyBorder="1" applyAlignment="1">
      <alignment horizontal="right" wrapText="1"/>
    </xf>
    <xf numFmtId="3" fontId="8" fillId="7" borderId="44" xfId="0" applyNumberFormat="1" applyFont="1" applyFill="1" applyBorder="1" applyAlignment="1">
      <alignment horizontal="right" wrapText="1"/>
    </xf>
    <xf numFmtId="0" fontId="10" fillId="0" borderId="45" xfId="0" applyFont="1" applyBorder="1" applyAlignment="1">
      <alignment horizontal="right" wrapText="1"/>
    </xf>
    <xf numFmtId="167" fontId="8" fillId="7" borderId="33" xfId="0" applyNumberFormat="1" applyFont="1" applyFill="1" applyBorder="1" applyAlignment="1">
      <alignment horizontal="right"/>
    </xf>
    <xf numFmtId="49" fontId="11" fillId="7" borderId="37" xfId="0" applyNumberFormat="1" applyFont="1" applyFill="1" applyBorder="1" applyAlignment="1">
      <alignment horizontal="center" vertical="center"/>
    </xf>
    <xf numFmtId="49" fontId="11" fillId="7" borderId="38" xfId="0" applyNumberFormat="1" applyFont="1" applyFill="1" applyBorder="1" applyAlignment="1">
      <alignment horizontal="center" vertical="center"/>
    </xf>
    <xf numFmtId="49" fontId="11" fillId="7" borderId="39" xfId="0" applyNumberFormat="1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left" wrapText="1"/>
    </xf>
    <xf numFmtId="0" fontId="0" fillId="0" borderId="35" xfId="0" applyBorder="1" applyAlignment="1">
      <alignment horizontal="left" wrapText="1"/>
    </xf>
    <xf numFmtId="3" fontId="11" fillId="7" borderId="37" xfId="0" applyNumberFormat="1" applyFont="1" applyFill="1" applyBorder="1" applyAlignment="1">
      <alignment horizontal="right" wrapText="1"/>
    </xf>
    <xf numFmtId="0" fontId="0" fillId="0" borderId="38" xfId="0" applyBorder="1" applyAlignment="1">
      <alignment horizontal="right" wrapText="1"/>
    </xf>
    <xf numFmtId="165" fontId="11" fillId="7" borderId="37" xfId="0" applyNumberFormat="1" applyFont="1" applyFill="1" applyBorder="1" applyAlignment="1">
      <alignment horizontal="right" wrapText="1"/>
    </xf>
    <xf numFmtId="3" fontId="14" fillId="6" borderId="21" xfId="0" applyNumberFormat="1" applyFont="1" applyFill="1" applyBorder="1" applyAlignment="1">
      <alignment horizontal="center"/>
    </xf>
    <xf numFmtId="3" fontId="14" fillId="6" borderId="22" xfId="0" applyNumberFormat="1" applyFont="1" applyFill="1" applyBorder="1" applyAlignment="1">
      <alignment horizontal="center"/>
    </xf>
    <xf numFmtId="3" fontId="14" fillId="6" borderId="31" xfId="0" applyNumberFormat="1" applyFont="1" applyFill="1" applyBorder="1" applyAlignment="1">
      <alignment horizontal="center"/>
    </xf>
    <xf numFmtId="3" fontId="8" fillId="7" borderId="42" xfId="0" applyNumberFormat="1" applyFont="1" applyFill="1" applyBorder="1" applyAlignment="1">
      <alignment horizontal="right" wrapText="1"/>
    </xf>
    <xf numFmtId="165" fontId="2" fillId="7" borderId="19" xfId="0" applyNumberFormat="1" applyFont="1" applyFill="1" applyBorder="1" applyAlignment="1">
      <alignment horizontal="right"/>
    </xf>
    <xf numFmtId="3" fontId="4" fillId="7" borderId="46" xfId="0" applyNumberFormat="1" applyFont="1" applyFill="1" applyBorder="1" applyAlignment="1">
      <alignment horizontal="right"/>
    </xf>
    <xf numFmtId="3" fontId="2" fillId="7" borderId="20" xfId="0" applyNumberFormat="1" applyFont="1" applyFill="1" applyBorder="1" applyAlignment="1">
      <alignment horizontal="right"/>
    </xf>
    <xf numFmtId="3" fontId="4" fillId="7" borderId="17" xfId="0" applyNumberFormat="1" applyFont="1" applyFill="1" applyBorder="1" applyAlignment="1">
      <alignment horizontal="right"/>
    </xf>
    <xf numFmtId="3" fontId="2" fillId="7" borderId="17" xfId="0" applyNumberFormat="1" applyFont="1" applyFill="1" applyBorder="1" applyAlignment="1">
      <alignment horizontal="right"/>
    </xf>
  </cellXfs>
  <cellStyles count="12">
    <cellStyle name="Bemærk!" xfId="3" builtinId="10"/>
    <cellStyle name="Komma" xfId="1" builtinId="3"/>
    <cellStyle name="Komma 2" xfId="5" xr:uid="{C06F2AE4-946A-49E9-8854-14D988DC5E44}"/>
    <cellStyle name="Komma 2 2" xfId="10" xr:uid="{16C035F6-5833-4782-AE9F-8F94CE1BC04C}"/>
    <cellStyle name="Komma 3" xfId="6" xr:uid="{A87F4C8E-0A72-4907-A569-4AD631738E35}"/>
    <cellStyle name="Komma 3 2" xfId="11" xr:uid="{35B71051-C38C-4F8B-8623-3756F0D671F4}"/>
    <cellStyle name="Komma 4" xfId="7" xr:uid="{05966126-8B53-49D7-A4AD-D43A1413B4F3}"/>
    <cellStyle name="Komma 5" xfId="8" xr:uid="{4C785FC1-9EB4-4799-886F-CBD58EAE78C4}"/>
    <cellStyle name="Normal" xfId="0" builtinId="0"/>
    <cellStyle name="Normal 2" xfId="4" xr:uid="{4FFE3E1D-E274-41AF-882A-31B621A00928}"/>
    <cellStyle name="Valuta" xfId="2" builtinId="4"/>
    <cellStyle name="Valuta 2" xfId="9" xr:uid="{756BEB22-B759-40B2-B57C-230EB8D2B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'Antal rejser pr rejsetype'!$I$52</c:f>
              <c:strCache>
                <c:ptCount val="1"/>
                <c:pt idx="0">
                  <c:v>Åben flextrafik inkl. Plus</c:v>
                </c:pt>
              </c:strCache>
            </c:strRef>
          </c:tx>
          <c:spPr>
            <a:solidFill>
              <a:srgbClr val="FFB61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'Antal rejser pr rejsetype'!$J$51:$M$51</c:f>
              <c:numCache>
                <c:formatCode>General</c:formatCode>
                <c:ptCount val="4"/>
                <c:pt idx="0" formatCode="0">
                  <c:v>2015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'Antal rejser pr rejsetype'!$J$52:$M$52</c:f>
              <c:numCache>
                <c:formatCode>"kr "#,##0;"kr -"#,##0</c:formatCode>
                <c:ptCount val="4"/>
                <c:pt idx="0">
                  <c:v>99</c:v>
                </c:pt>
                <c:pt idx="1">
                  <c:v>128</c:v>
                </c:pt>
                <c:pt idx="2">
                  <c:v>93</c:v>
                </c:pt>
                <c:pt idx="3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4-48B7-92C2-DFD63C5FB079}"/>
            </c:ext>
          </c:extLst>
        </c:ser>
        <c:ser>
          <c:idx val="1"/>
          <c:order val="1"/>
          <c:tx>
            <c:strRef>
              <c:f>'Antal rejser pr rejsetype'!$I$53</c:f>
              <c:strCache>
                <c:ptCount val="1"/>
                <c:pt idx="0">
                  <c:v>Handicap kørsel</c:v>
                </c:pt>
              </c:strCache>
            </c:strRef>
          </c:tx>
          <c:spPr>
            <a:solidFill>
              <a:srgbClr val="BFC3C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'Antal rejser pr rejsetype'!$J$51:$M$51</c:f>
              <c:numCache>
                <c:formatCode>General</c:formatCode>
                <c:ptCount val="4"/>
                <c:pt idx="0" formatCode="0">
                  <c:v>2015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'Antal rejser pr rejsetype'!$J$53:$M$53</c:f>
              <c:numCache>
                <c:formatCode>"kr "#,##0;"kr -"#,##0</c:formatCode>
                <c:ptCount val="4"/>
                <c:pt idx="0">
                  <c:v>211</c:v>
                </c:pt>
                <c:pt idx="1">
                  <c:v>290</c:v>
                </c:pt>
                <c:pt idx="2">
                  <c:v>224</c:v>
                </c:pt>
                <c:pt idx="3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4-48B7-92C2-DFD63C5FB079}"/>
            </c:ext>
          </c:extLst>
        </c:ser>
        <c:ser>
          <c:idx val="2"/>
          <c:order val="2"/>
          <c:tx>
            <c:strRef>
              <c:f>'Antal rejser pr rejsetype'!$I$54</c:f>
              <c:strCache>
                <c:ptCount val="1"/>
                <c:pt idx="0">
                  <c:v>Kommunal visiteret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'Antal rejser pr rejsetype'!$J$51:$M$51</c:f>
              <c:numCache>
                <c:formatCode>General</c:formatCode>
                <c:ptCount val="4"/>
                <c:pt idx="0" formatCode="0">
                  <c:v>2015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'Antal rejser pr rejsetype'!$J$54:$M$54</c:f>
              <c:numCache>
                <c:formatCode>"kr "#,##0;"kr -"#,##0</c:formatCode>
                <c:ptCount val="4"/>
                <c:pt idx="0">
                  <c:v>477</c:v>
                </c:pt>
                <c:pt idx="1">
                  <c:v>515</c:v>
                </c:pt>
                <c:pt idx="2">
                  <c:v>481</c:v>
                </c:pt>
                <c:pt idx="3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14-48B7-92C2-DFD63C5FB079}"/>
            </c:ext>
          </c:extLst>
        </c:ser>
        <c:ser>
          <c:idx val="3"/>
          <c:order val="3"/>
          <c:tx>
            <c:strRef>
              <c:f>'Antal rejser pr rejsetype'!$I$55</c:f>
              <c:strCache>
                <c:ptCount val="1"/>
                <c:pt idx="0">
                  <c:v>Patientbefordring</c:v>
                </c:pt>
              </c:strCache>
            </c:strRef>
          </c:tx>
          <c:spPr>
            <a:solidFill>
              <a:srgbClr val="BCB29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'Antal rejser pr rejsetype'!$J$51:$M$51</c:f>
              <c:numCache>
                <c:formatCode>General</c:formatCode>
                <c:ptCount val="4"/>
                <c:pt idx="0" formatCode="0">
                  <c:v>2015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'Antal rejser pr rejsetype'!$J$55:$M$55</c:f>
              <c:numCache>
                <c:formatCode>"kr "#,##0;"kr -"#,##0</c:formatCode>
                <c:ptCount val="4"/>
                <c:pt idx="0">
                  <c:v>497</c:v>
                </c:pt>
                <c:pt idx="1">
                  <c:v>529</c:v>
                </c:pt>
                <c:pt idx="2">
                  <c:v>550</c:v>
                </c:pt>
                <c:pt idx="3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14-48B7-92C2-DFD63C5FB0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97739343"/>
        <c:axId val="896621695"/>
      </c:barChart>
      <c:catAx>
        <c:axId val="89773934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96621695"/>
        <c:crosses val="autoZero"/>
        <c:auto val="1"/>
        <c:lblAlgn val="ctr"/>
        <c:lblOffset val="100"/>
        <c:noMultiLvlLbl val="0"/>
      </c:catAx>
      <c:valAx>
        <c:axId val="896621695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kr &quot;#,##0;&quot;kr 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9773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144780</xdr:colOff>
      <xdr:row>57</xdr:row>
      <xdr:rowOff>41910</xdr:rowOff>
    </xdr:from>
    <xdr:to>
      <xdr:col>12</xdr:col>
      <xdr:colOff>220980</xdr:colOff>
      <xdr:row>73</xdr:row>
      <xdr:rowOff>102870</xdr:rowOff>
    </xdr:to>
    <xdr:graphicFrame macro="">
      <xdr:nvGraphicFramePr>
        <xdr:cNvPr id="3" name="Diagram 2" descr="&lt;?xml version=&quot;1.0&quot; encoding=&quot;utf-16&quot;?&gt;&#10;&lt;ChartInfo xmlns:xsd=&quot;http://www.w3.org/2001/XMLSchema&quot; xmlns:xsi=&quot;http://www.w3.org/2001/XMLSchema-instance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Movia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670AE5CC-5EE2-4892-A4A3-E9966F525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zoomScaleNormal="100" workbookViewId="0">
      <selection activeCell="H39" sqref="H39"/>
    </sheetView>
  </sheetViews>
  <sheetFormatPr defaultRowHeight="12.75" x14ac:dyDescent="0.2"/>
  <cols>
    <col min="1" max="2" width="10.7109375" customWidth="1"/>
    <col min="3" max="3" width="32.140625" bestFit="1" customWidth="1"/>
    <col min="4" max="4" width="17" customWidth="1"/>
    <col min="5" max="5" width="13.5703125" customWidth="1"/>
    <col min="6" max="6" width="12.140625" style="31" customWidth="1"/>
    <col min="7" max="7" width="20.42578125" style="30" customWidth="1"/>
    <col min="8" max="8" width="17.28515625" style="39" customWidth="1"/>
    <col min="9" max="9" width="19.5703125" style="31" bestFit="1" customWidth="1"/>
    <col min="10" max="10" width="30.42578125" style="31" bestFit="1" customWidth="1"/>
    <col min="11" max="11" width="16.140625" style="38" bestFit="1" customWidth="1"/>
    <col min="12" max="12" width="15" bestFit="1" customWidth="1"/>
    <col min="13" max="13" width="12.7109375" bestFit="1" customWidth="1"/>
    <col min="14" max="14" width="30.42578125" customWidth="1"/>
    <col min="15" max="15" width="14.7109375" customWidth="1"/>
    <col min="16" max="16" width="11.42578125" bestFit="1" customWidth="1"/>
    <col min="17" max="17" width="22.28515625" customWidth="1"/>
    <col min="18" max="18" width="4.7109375" customWidth="1"/>
  </cols>
  <sheetData>
    <row r="1" spans="1:17" s="6" customFormat="1" x14ac:dyDescent="0.2">
      <c r="A1" s="1"/>
      <c r="B1" s="2"/>
      <c r="C1" s="3"/>
      <c r="D1" s="3"/>
      <c r="E1" s="3"/>
      <c r="F1" s="4"/>
      <c r="G1" s="5"/>
      <c r="H1" s="32"/>
      <c r="I1" s="33"/>
      <c r="J1" s="33"/>
      <c r="K1" s="34"/>
      <c r="L1"/>
      <c r="M1" s="35"/>
      <c r="N1"/>
      <c r="O1"/>
      <c r="P1"/>
      <c r="Q1"/>
    </row>
    <row r="2" spans="1:17" s="6" customFormat="1" ht="20.45" customHeight="1" x14ac:dyDescent="0.2">
      <c r="A2" s="1"/>
      <c r="B2" s="120" t="s">
        <v>0</v>
      </c>
      <c r="C2" s="121"/>
      <c r="D2" s="121"/>
      <c r="E2" s="121"/>
      <c r="F2" s="121"/>
      <c r="G2" s="122"/>
      <c r="H2" s="36"/>
      <c r="I2" s="37"/>
      <c r="J2" s="37"/>
      <c r="K2" s="38"/>
      <c r="L2"/>
      <c r="M2" s="35"/>
      <c r="N2"/>
      <c r="O2"/>
      <c r="P2"/>
      <c r="Q2"/>
    </row>
    <row r="3" spans="1:17" s="6" customFormat="1" ht="20.45" customHeight="1" x14ac:dyDescent="0.2">
      <c r="A3" s="1"/>
      <c r="B3" s="120"/>
      <c r="C3" s="121"/>
      <c r="D3" s="121"/>
      <c r="E3" s="121"/>
      <c r="F3" s="121"/>
      <c r="G3" s="122"/>
      <c r="H3" s="39"/>
      <c r="I3" s="31"/>
      <c r="J3" s="31"/>
      <c r="K3" s="38"/>
      <c r="L3"/>
      <c r="M3" s="35"/>
      <c r="N3"/>
      <c r="O3"/>
      <c r="P3"/>
      <c r="Q3"/>
    </row>
    <row r="4" spans="1:17" s="6" customFormat="1" x14ac:dyDescent="0.2">
      <c r="A4" s="1"/>
      <c r="B4" s="9"/>
      <c r="C4" s="10"/>
      <c r="D4" s="10"/>
      <c r="E4" s="10"/>
      <c r="F4" s="11"/>
      <c r="G4" s="12"/>
      <c r="H4" s="40"/>
      <c r="I4" s="44" t="s">
        <v>22</v>
      </c>
      <c r="J4" s="44"/>
      <c r="K4" s="44"/>
      <c r="L4" s="44"/>
      <c r="M4" s="44"/>
      <c r="N4" s="41"/>
      <c r="O4"/>
      <c r="P4"/>
      <c r="Q4"/>
    </row>
    <row r="5" spans="1:17" s="6" customFormat="1" ht="24" x14ac:dyDescent="0.2">
      <c r="A5" s="1"/>
      <c r="B5" s="60" t="s">
        <v>1</v>
      </c>
      <c r="C5" s="61" t="s">
        <v>2</v>
      </c>
      <c r="D5" s="61" t="s">
        <v>3</v>
      </c>
      <c r="E5" s="61" t="s">
        <v>4</v>
      </c>
      <c r="F5" s="61" t="s">
        <v>5</v>
      </c>
      <c r="G5" s="62" t="s">
        <v>6</v>
      </c>
      <c r="H5" s="39"/>
      <c r="I5" s="69" t="s">
        <v>50</v>
      </c>
      <c r="J5" s="70" t="s">
        <v>2</v>
      </c>
      <c r="K5" s="71" t="s">
        <v>3</v>
      </c>
      <c r="L5" s="144" t="s">
        <v>26</v>
      </c>
      <c r="M5" s="71" t="s">
        <v>5</v>
      </c>
      <c r="N5" s="75" t="s">
        <v>51</v>
      </c>
      <c r="O5"/>
      <c r="P5"/>
      <c r="Q5"/>
    </row>
    <row r="6" spans="1:17" s="6" customFormat="1" x14ac:dyDescent="0.2">
      <c r="A6" s="1"/>
      <c r="B6" s="13">
        <v>2015</v>
      </c>
      <c r="C6" s="14" t="s">
        <v>7</v>
      </c>
      <c r="D6" s="15">
        <v>98799783.489999995</v>
      </c>
      <c r="E6" s="15">
        <v>30399256</v>
      </c>
      <c r="F6" s="18">
        <v>759364</v>
      </c>
      <c r="G6" s="25">
        <v>5825179</v>
      </c>
      <c r="H6" s="39"/>
      <c r="I6" s="45" t="s">
        <v>22</v>
      </c>
      <c r="J6" s="44" t="s">
        <v>18</v>
      </c>
      <c r="K6" s="143">
        <f>+Midttrafik!F16</f>
        <v>19075902.119999997</v>
      </c>
      <c r="L6" s="143">
        <f>+Midttrafik!G16</f>
        <v>7075600</v>
      </c>
      <c r="M6" s="145">
        <f>+Midttrafik!I16</f>
        <v>163625</v>
      </c>
      <c r="N6" s="145">
        <f>+Midttrafik!J16</f>
        <v>1670314</v>
      </c>
      <c r="O6"/>
      <c r="P6"/>
      <c r="Q6"/>
    </row>
    <row r="7" spans="1:17" s="6" customFormat="1" x14ac:dyDescent="0.2">
      <c r="A7" s="1"/>
      <c r="B7" s="19"/>
      <c r="C7" s="14" t="s">
        <v>8</v>
      </c>
      <c r="D7" s="15">
        <v>210571401.59999999</v>
      </c>
      <c r="E7" s="15">
        <v>42028974</v>
      </c>
      <c r="F7" s="18">
        <v>846736</v>
      </c>
      <c r="G7" s="25">
        <v>11006211</v>
      </c>
      <c r="H7" s="39"/>
      <c r="I7" s="45" t="s">
        <v>22</v>
      </c>
      <c r="J7" s="44" t="s">
        <v>8</v>
      </c>
      <c r="K7" s="58">
        <f>+Midttrafik!F8</f>
        <v>51537984.100000009</v>
      </c>
      <c r="L7" s="58">
        <f>+Midttrafik!G8</f>
        <v>9921839</v>
      </c>
      <c r="M7" s="145">
        <f>+Midttrafik!I8</f>
        <v>196334</v>
      </c>
      <c r="N7" s="145">
        <f>+Midttrafik!J8</f>
        <v>2263218</v>
      </c>
      <c r="O7"/>
      <c r="P7"/>
      <c r="Q7"/>
    </row>
    <row r="8" spans="1:17" s="6" customFormat="1" x14ac:dyDescent="0.2">
      <c r="A8" s="1"/>
      <c r="B8" s="19"/>
      <c r="C8" s="14" t="s">
        <v>9</v>
      </c>
      <c r="D8" s="26">
        <v>476522942.16000003</v>
      </c>
      <c r="E8" s="26">
        <v>521445</v>
      </c>
      <c r="F8" s="27">
        <v>3529032</v>
      </c>
      <c r="G8" s="28">
        <v>40180658</v>
      </c>
      <c r="H8" s="39"/>
      <c r="I8" s="45" t="s">
        <v>22</v>
      </c>
      <c r="J8" s="44" t="s">
        <v>9</v>
      </c>
      <c r="K8" s="58">
        <f>+Midttrafik!F9+Midttrafik!F10</f>
        <v>30276309.820000004</v>
      </c>
      <c r="L8" s="58">
        <f>+Midttrafik!G9+Midttrafik!G10</f>
        <v>10560</v>
      </c>
      <c r="M8" s="145">
        <f>+Midttrafik!I9+Midttrafik!I10</f>
        <v>168685</v>
      </c>
      <c r="N8" s="145">
        <f>+Midttrafik!J9+Midttrafik!J10</f>
        <v>1781002</v>
      </c>
      <c r="O8"/>
      <c r="P8"/>
      <c r="Q8"/>
    </row>
    <row r="9" spans="1:17" s="6" customFormat="1" x14ac:dyDescent="0.2">
      <c r="A9" s="1"/>
      <c r="B9" s="19"/>
      <c r="C9" s="14" t="s">
        <v>10</v>
      </c>
      <c r="D9" s="15">
        <v>497312219.44999999</v>
      </c>
      <c r="E9" s="15">
        <v>78</v>
      </c>
      <c r="F9" s="18">
        <v>1750309</v>
      </c>
      <c r="G9" s="25">
        <v>58202049</v>
      </c>
      <c r="H9" s="39"/>
      <c r="I9" s="45" t="s">
        <v>22</v>
      </c>
      <c r="J9" s="44" t="s">
        <v>10</v>
      </c>
      <c r="K9" s="58">
        <f>+Midttrafik!F11</f>
        <v>139159173</v>
      </c>
      <c r="L9" s="58">
        <f>+Midttrafik!G11</f>
        <v>0</v>
      </c>
      <c r="M9" s="145">
        <f>+Midttrafik!I11</f>
        <v>414523</v>
      </c>
      <c r="N9" s="145">
        <f>+Midttrafik!J11</f>
        <v>13313180</v>
      </c>
      <c r="O9"/>
      <c r="P9"/>
      <c r="Q9"/>
    </row>
    <row r="10" spans="1:17" s="6" customFormat="1" x14ac:dyDescent="0.2">
      <c r="A10" s="1"/>
      <c r="B10" s="20">
        <v>2015</v>
      </c>
      <c r="C10" s="21"/>
      <c r="D10" s="22">
        <v>1283206346.7</v>
      </c>
      <c r="E10" s="22">
        <v>72949753</v>
      </c>
      <c r="F10" s="59">
        <v>6885441</v>
      </c>
      <c r="G10" s="23">
        <f>SUM(G6:G9)</f>
        <v>115214097</v>
      </c>
      <c r="H10" s="39"/>
      <c r="I10" s="67" t="s">
        <v>22</v>
      </c>
      <c r="J10" s="68" t="s">
        <v>19</v>
      </c>
      <c r="K10" s="58">
        <f>+Midttrafik!F17</f>
        <v>456648.54</v>
      </c>
      <c r="L10" s="58">
        <f>+Midttrafik!G17</f>
        <v>95930</v>
      </c>
      <c r="M10" s="145">
        <f>+Midttrafik!I17</f>
        <v>3711</v>
      </c>
      <c r="N10" s="145">
        <f>+Midttrafik!J17</f>
        <v>37016</v>
      </c>
      <c r="O10"/>
      <c r="P10"/>
      <c r="Q10"/>
    </row>
    <row r="11" spans="1:17" s="6" customFormat="1" x14ac:dyDescent="0.2">
      <c r="A11" s="1"/>
      <c r="B11" s="8"/>
      <c r="C11" s="7"/>
      <c r="D11" s="7"/>
      <c r="E11" s="7"/>
      <c r="F11" s="17"/>
      <c r="G11" s="16"/>
      <c r="H11" s="39"/>
      <c r="I11" s="46">
        <v>2021</v>
      </c>
      <c r="J11" s="47"/>
      <c r="K11" s="48">
        <f>SUM(K6:K10)</f>
        <v>240506017.58000001</v>
      </c>
      <c r="L11" s="48">
        <f>SUM(L6:L10)</f>
        <v>17103929</v>
      </c>
      <c r="M11" s="146">
        <f>SUM(M6:M10)</f>
        <v>946878</v>
      </c>
      <c r="N11" s="146">
        <f>SUM(N6:N10)</f>
        <v>19064730</v>
      </c>
      <c r="O11"/>
      <c r="P11"/>
      <c r="Q11"/>
    </row>
    <row r="12" spans="1:17" s="6" customFormat="1" x14ac:dyDescent="0.2">
      <c r="A12" s="1"/>
      <c r="B12" s="60" t="s">
        <v>1</v>
      </c>
      <c r="C12" s="61" t="s">
        <v>2</v>
      </c>
      <c r="D12" s="61" t="s">
        <v>3</v>
      </c>
      <c r="E12" s="61" t="s">
        <v>4</v>
      </c>
      <c r="F12" s="61" t="s">
        <v>5</v>
      </c>
      <c r="G12" s="62" t="s">
        <v>6</v>
      </c>
      <c r="H12" s="39"/>
      <c r="I12" s="46"/>
      <c r="J12" s="47"/>
      <c r="K12" s="48"/>
      <c r="L12" s="49"/>
      <c r="M12" s="48"/>
      <c r="N12" s="43"/>
      <c r="O12"/>
      <c r="P12"/>
      <c r="Q12"/>
    </row>
    <row r="13" spans="1:17" s="6" customFormat="1" x14ac:dyDescent="0.2">
      <c r="A13" s="1"/>
      <c r="B13" s="13">
        <v>2016</v>
      </c>
      <c r="C13" s="14" t="s">
        <v>7</v>
      </c>
      <c r="D13" s="15">
        <v>112652753.88</v>
      </c>
      <c r="E13" s="15">
        <v>36904901</v>
      </c>
      <c r="F13" s="18">
        <v>872344</v>
      </c>
      <c r="G13" s="25">
        <v>7151188</v>
      </c>
      <c r="H13" s="39"/>
      <c r="I13" s="44" t="s">
        <v>23</v>
      </c>
      <c r="J13" s="44"/>
      <c r="K13" s="44"/>
      <c r="L13" s="44"/>
      <c r="M13" s="44"/>
      <c r="N13" s="41"/>
      <c r="O13"/>
      <c r="P13"/>
      <c r="Q13"/>
    </row>
    <row r="14" spans="1:17" s="6" customFormat="1" x14ac:dyDescent="0.2">
      <c r="A14" s="1"/>
      <c r="B14" s="19"/>
      <c r="C14" s="14" t="s">
        <v>8</v>
      </c>
      <c r="D14" s="15">
        <v>224869845.78999999</v>
      </c>
      <c r="E14" s="15">
        <v>45750951</v>
      </c>
      <c r="F14" s="18">
        <v>932318</v>
      </c>
      <c r="G14" s="25">
        <v>11899143</v>
      </c>
      <c r="H14" s="39"/>
      <c r="I14" s="69" t="s">
        <v>50</v>
      </c>
      <c r="J14" s="70" t="s">
        <v>2</v>
      </c>
      <c r="K14" s="71" t="s">
        <v>3</v>
      </c>
      <c r="L14" s="71" t="s">
        <v>26</v>
      </c>
      <c r="M14" s="71" t="s">
        <v>5</v>
      </c>
      <c r="N14" s="72" t="s">
        <v>6</v>
      </c>
      <c r="O14"/>
      <c r="P14"/>
      <c r="Q14"/>
    </row>
    <row r="15" spans="1:17" s="6" customFormat="1" x14ac:dyDescent="0.2">
      <c r="A15" s="1"/>
      <c r="B15" s="19"/>
      <c r="C15" s="14" t="s">
        <v>9</v>
      </c>
      <c r="D15" s="26">
        <v>526045597</v>
      </c>
      <c r="E15" s="26">
        <v>542589</v>
      </c>
      <c r="F15" s="27">
        <v>3797574</v>
      </c>
      <c r="G15" s="28">
        <v>42631599</v>
      </c>
      <c r="H15" s="39"/>
      <c r="I15" s="45" t="s">
        <v>23</v>
      </c>
      <c r="J15" s="44" t="s">
        <v>18</v>
      </c>
      <c r="K15" s="58">
        <v>24573208</v>
      </c>
      <c r="L15" s="58">
        <v>9954597</v>
      </c>
      <c r="M15" s="145">
        <v>151101</v>
      </c>
      <c r="N15" s="145">
        <v>1820805</v>
      </c>
      <c r="O15"/>
      <c r="P15"/>
      <c r="Q15"/>
    </row>
    <row r="16" spans="1:17" s="6" customFormat="1" x14ac:dyDescent="0.2">
      <c r="A16" s="1"/>
      <c r="B16" s="19"/>
      <c r="C16" s="14" t="s">
        <v>10</v>
      </c>
      <c r="D16" s="15">
        <v>503747131.06</v>
      </c>
      <c r="E16" s="15">
        <v>100</v>
      </c>
      <c r="F16" s="18">
        <v>1764781</v>
      </c>
      <c r="G16" s="25">
        <v>58853697</v>
      </c>
      <c r="H16" s="39"/>
      <c r="I16" s="45" t="s">
        <v>23</v>
      </c>
      <c r="J16" s="44" t="s">
        <v>8</v>
      </c>
      <c r="K16" s="58">
        <v>37436094</v>
      </c>
      <c r="L16" s="58">
        <v>7655147</v>
      </c>
      <c r="M16" s="145">
        <v>131462</v>
      </c>
      <c r="N16" s="145">
        <v>1552495</v>
      </c>
      <c r="O16"/>
      <c r="P16"/>
      <c r="Q16"/>
    </row>
    <row r="17" spans="1:14" x14ac:dyDescent="0.2">
      <c r="A17" s="24"/>
      <c r="B17" s="20">
        <v>2016</v>
      </c>
      <c r="C17" s="21"/>
      <c r="D17" s="22">
        <v>1367315327.73</v>
      </c>
      <c r="E17" s="22">
        <v>83198541</v>
      </c>
      <c r="F17" s="59">
        <v>7367017</v>
      </c>
      <c r="G17" s="23">
        <f>SUM(G13:G16)</f>
        <v>120535627</v>
      </c>
      <c r="I17" s="45" t="s">
        <v>23</v>
      </c>
      <c r="J17" s="44" t="s">
        <v>9</v>
      </c>
      <c r="K17" s="58">
        <v>20810135</v>
      </c>
      <c r="L17" s="58"/>
      <c r="M17" s="145">
        <v>127776</v>
      </c>
      <c r="N17" s="145">
        <v>1158214</v>
      </c>
    </row>
    <row r="18" spans="1:14" x14ac:dyDescent="0.2">
      <c r="A18" s="24"/>
      <c r="B18" s="8"/>
      <c r="C18" s="7"/>
      <c r="D18" s="7"/>
      <c r="E18" s="7"/>
      <c r="F18" s="17"/>
      <c r="G18" s="16"/>
      <c r="I18" s="45" t="s">
        <v>27</v>
      </c>
      <c r="J18" s="44" t="s">
        <v>10</v>
      </c>
      <c r="K18" s="58">
        <v>170693814</v>
      </c>
      <c r="L18" s="58"/>
      <c r="M18" s="145">
        <v>495575</v>
      </c>
      <c r="N18" s="145">
        <v>16791080</v>
      </c>
    </row>
    <row r="19" spans="1:14" x14ac:dyDescent="0.2">
      <c r="A19" s="24"/>
      <c r="B19" s="60" t="s">
        <v>1</v>
      </c>
      <c r="C19" s="61" t="s">
        <v>2</v>
      </c>
      <c r="D19" s="61" t="s">
        <v>3</v>
      </c>
      <c r="E19" s="61" t="s">
        <v>4</v>
      </c>
      <c r="F19" s="61" t="s">
        <v>5</v>
      </c>
      <c r="G19" s="62" t="s">
        <v>6</v>
      </c>
      <c r="I19" s="67" t="s">
        <v>23</v>
      </c>
      <c r="J19" s="68" t="s">
        <v>19</v>
      </c>
      <c r="K19" s="58">
        <v>657057</v>
      </c>
      <c r="L19" s="58">
        <v>74724</v>
      </c>
      <c r="M19" s="145">
        <v>2823</v>
      </c>
      <c r="N19" s="145">
        <v>26168</v>
      </c>
    </row>
    <row r="20" spans="1:14" x14ac:dyDescent="0.2">
      <c r="A20" s="24"/>
      <c r="B20" s="13">
        <v>2017</v>
      </c>
      <c r="C20" s="14" t="s">
        <v>7</v>
      </c>
      <c r="D20" s="15">
        <v>114733449.90000001</v>
      </c>
      <c r="E20" s="15">
        <v>40346107</v>
      </c>
      <c r="F20" s="18">
        <v>911219</v>
      </c>
      <c r="G20" s="25">
        <v>7679879</v>
      </c>
      <c r="I20" s="46">
        <v>2021</v>
      </c>
      <c r="J20" s="47"/>
      <c r="K20" s="48">
        <v>254170307</v>
      </c>
      <c r="L20" s="48">
        <v>17684468</v>
      </c>
      <c r="M20" s="146" t="s">
        <v>53</v>
      </c>
      <c r="N20" s="146" t="s">
        <v>54</v>
      </c>
    </row>
    <row r="21" spans="1:14" x14ac:dyDescent="0.2">
      <c r="A21" s="24"/>
      <c r="B21" s="19"/>
      <c r="C21" s="14" t="s">
        <v>8</v>
      </c>
      <c r="D21" s="15">
        <v>233423719.37</v>
      </c>
      <c r="E21" s="15">
        <v>48576250</v>
      </c>
      <c r="F21" s="18">
        <v>1001870</v>
      </c>
      <c r="G21" s="25">
        <v>12486650</v>
      </c>
      <c r="I21"/>
      <c r="J21"/>
      <c r="K21"/>
    </row>
    <row r="22" spans="1:14" x14ac:dyDescent="0.2">
      <c r="A22" s="24"/>
      <c r="B22" s="19"/>
      <c r="C22" s="14" t="s">
        <v>9</v>
      </c>
      <c r="D22" s="26">
        <v>503673391.50999898</v>
      </c>
      <c r="E22" s="26">
        <v>439173</v>
      </c>
      <c r="F22" s="27">
        <v>3704030</v>
      </c>
      <c r="G22" s="28">
        <v>41434215</v>
      </c>
      <c r="I22" s="44" t="s">
        <v>16</v>
      </c>
      <c r="J22" s="44"/>
      <c r="K22" s="44"/>
      <c r="L22" s="44"/>
      <c r="M22" s="44"/>
      <c r="N22" s="41"/>
    </row>
    <row r="23" spans="1:14" x14ac:dyDescent="0.2">
      <c r="A23" s="24"/>
      <c r="B23" s="19"/>
      <c r="C23" s="14" t="s">
        <v>10</v>
      </c>
      <c r="D23" s="15">
        <v>506231747.32999998</v>
      </c>
      <c r="E23" s="15">
        <v>1732</v>
      </c>
      <c r="F23" s="18">
        <v>1786257</v>
      </c>
      <c r="G23" s="25">
        <v>60772586</v>
      </c>
      <c r="I23" s="69" t="s">
        <v>1</v>
      </c>
      <c r="J23" s="70" t="s">
        <v>2</v>
      </c>
      <c r="K23" s="71" t="s">
        <v>3</v>
      </c>
      <c r="L23" s="71" t="s">
        <v>26</v>
      </c>
      <c r="M23" s="71" t="s">
        <v>5</v>
      </c>
      <c r="N23" s="72" t="s">
        <v>6</v>
      </c>
    </row>
    <row r="24" spans="1:14" x14ac:dyDescent="0.2">
      <c r="A24" s="24"/>
      <c r="B24" s="20">
        <v>2017</v>
      </c>
      <c r="C24" s="21"/>
      <c r="D24" s="22">
        <v>1358062308.1099989</v>
      </c>
      <c r="E24" s="22">
        <v>89363262</v>
      </c>
      <c r="F24" s="59">
        <v>7403376</v>
      </c>
      <c r="G24" s="23">
        <f>SUM(G20:G23)</f>
        <v>122373330</v>
      </c>
      <c r="I24" s="45">
        <v>2021</v>
      </c>
      <c r="J24" s="44" t="s">
        <v>18</v>
      </c>
      <c r="K24" s="58">
        <v>9876758</v>
      </c>
      <c r="L24" s="58">
        <v>4280646</v>
      </c>
      <c r="M24" s="145">
        <v>59988</v>
      </c>
      <c r="N24" s="145">
        <v>529017</v>
      </c>
    </row>
    <row r="25" spans="1:14" x14ac:dyDescent="0.2">
      <c r="A25" s="24"/>
      <c r="B25" s="8"/>
      <c r="C25" s="7"/>
      <c r="D25" s="7"/>
      <c r="E25" s="7"/>
      <c r="F25" s="17"/>
      <c r="G25" s="16"/>
      <c r="I25" s="45" t="s">
        <v>16</v>
      </c>
      <c r="J25" s="44" t="s">
        <v>8</v>
      </c>
      <c r="K25" s="58">
        <v>21422849</v>
      </c>
      <c r="L25" s="58">
        <v>4345161</v>
      </c>
      <c r="M25" s="145">
        <v>71779</v>
      </c>
      <c r="N25" s="145">
        <v>870009</v>
      </c>
    </row>
    <row r="26" spans="1:14" x14ac:dyDescent="0.2">
      <c r="A26" s="24"/>
      <c r="B26" s="60" t="s">
        <v>1</v>
      </c>
      <c r="C26" s="61" t="s">
        <v>2</v>
      </c>
      <c r="D26" s="61" t="s">
        <v>3</v>
      </c>
      <c r="E26" s="61" t="s">
        <v>4</v>
      </c>
      <c r="F26" s="61" t="s">
        <v>5</v>
      </c>
      <c r="G26" s="62" t="s">
        <v>6</v>
      </c>
      <c r="I26" s="45" t="s">
        <v>16</v>
      </c>
      <c r="J26" s="44" t="s">
        <v>9</v>
      </c>
      <c r="K26" s="58">
        <v>169439584</v>
      </c>
      <c r="L26" s="58"/>
      <c r="M26" s="145">
        <v>1031107</v>
      </c>
      <c r="N26" s="145">
        <v>12872529</v>
      </c>
    </row>
    <row r="27" spans="1:14" x14ac:dyDescent="0.2">
      <c r="A27" s="24"/>
      <c r="B27" s="13">
        <v>2018</v>
      </c>
      <c r="C27" s="14" t="s">
        <v>7</v>
      </c>
      <c r="D27" s="15">
        <v>123630993.01000001</v>
      </c>
      <c r="E27" s="15">
        <v>43690471</v>
      </c>
      <c r="F27" s="18">
        <v>967884</v>
      </c>
      <c r="G27" s="25">
        <v>8367973</v>
      </c>
      <c r="I27" s="45" t="s">
        <v>16</v>
      </c>
      <c r="J27" s="44" t="s">
        <v>10</v>
      </c>
      <c r="K27" s="58">
        <v>93567443</v>
      </c>
      <c r="L27" s="58"/>
      <c r="M27" s="145">
        <v>219987</v>
      </c>
      <c r="N27" s="145">
        <v>8767121</v>
      </c>
    </row>
    <row r="28" spans="1:14" x14ac:dyDescent="0.2">
      <c r="A28" s="24"/>
      <c r="B28" s="19"/>
      <c r="C28" s="14" t="s">
        <v>8</v>
      </c>
      <c r="D28" s="15">
        <v>261493403.30000001</v>
      </c>
      <c r="E28" s="15">
        <v>52285214</v>
      </c>
      <c r="F28" s="18">
        <v>1076508</v>
      </c>
      <c r="G28" s="25">
        <v>13384059</v>
      </c>
      <c r="I28" s="67" t="s">
        <v>16</v>
      </c>
      <c r="J28" s="68" t="s">
        <v>19</v>
      </c>
      <c r="K28" s="58">
        <v>1133885</v>
      </c>
      <c r="L28" s="58">
        <v>0</v>
      </c>
      <c r="M28" s="145">
        <v>12759</v>
      </c>
      <c r="N28" s="145">
        <v>91835</v>
      </c>
    </row>
    <row r="29" spans="1:14" x14ac:dyDescent="0.2">
      <c r="A29" s="24"/>
      <c r="B29" s="19"/>
      <c r="C29" s="14" t="s">
        <v>9</v>
      </c>
      <c r="D29" s="26">
        <v>499338483.13</v>
      </c>
      <c r="E29" s="26">
        <v>422637</v>
      </c>
      <c r="F29" s="27">
        <v>3456995</v>
      </c>
      <c r="G29" s="28">
        <v>39088459</v>
      </c>
      <c r="I29" s="46">
        <v>2021</v>
      </c>
      <c r="J29" s="47"/>
      <c r="K29" s="48" t="s">
        <v>55</v>
      </c>
      <c r="L29" s="48" t="s">
        <v>56</v>
      </c>
      <c r="M29" s="146" t="s">
        <v>57</v>
      </c>
      <c r="N29" s="146" t="s">
        <v>58</v>
      </c>
    </row>
    <row r="30" spans="1:14" x14ac:dyDescent="0.2">
      <c r="A30" s="24"/>
      <c r="B30" s="19"/>
      <c r="C30" s="14" t="s">
        <v>10</v>
      </c>
      <c r="D30" s="15">
        <v>538439150.25</v>
      </c>
      <c r="E30" s="15">
        <v>753</v>
      </c>
      <c r="F30" s="18">
        <v>1798528</v>
      </c>
      <c r="G30" s="25">
        <v>61882600</v>
      </c>
      <c r="I30"/>
      <c r="J30"/>
      <c r="K30"/>
    </row>
    <row r="31" spans="1:14" x14ac:dyDescent="0.2">
      <c r="A31" s="24"/>
      <c r="B31" s="20">
        <v>2018</v>
      </c>
      <c r="C31" s="21"/>
      <c r="D31" s="22">
        <v>1422902029.6900001</v>
      </c>
      <c r="E31" s="22">
        <v>96399075</v>
      </c>
      <c r="F31" s="59">
        <v>7299915</v>
      </c>
      <c r="G31" s="23">
        <f>SUM(G27:G30)</f>
        <v>122723091</v>
      </c>
      <c r="I31" s="44" t="s">
        <v>28</v>
      </c>
      <c r="J31" s="44"/>
      <c r="K31" s="44"/>
      <c r="L31" s="44"/>
      <c r="M31" s="44"/>
      <c r="N31" s="41"/>
    </row>
    <row r="32" spans="1:14" ht="13.5" x14ac:dyDescent="0.2">
      <c r="A32" s="24"/>
      <c r="B32" s="8"/>
      <c r="C32" s="7"/>
      <c r="D32" s="7"/>
      <c r="E32" s="7"/>
      <c r="F32" s="17"/>
      <c r="G32" s="16"/>
      <c r="I32" s="69" t="s">
        <v>1</v>
      </c>
      <c r="J32" s="70" t="s">
        <v>2</v>
      </c>
      <c r="K32" s="71" t="s">
        <v>3</v>
      </c>
      <c r="L32" s="71" t="s">
        <v>26</v>
      </c>
      <c r="M32" s="71" t="s">
        <v>59</v>
      </c>
      <c r="N32" s="42"/>
    </row>
    <row r="33" spans="1:14" x14ac:dyDescent="0.2">
      <c r="A33" s="24"/>
      <c r="B33" s="60" t="s">
        <v>1</v>
      </c>
      <c r="C33" s="61" t="s">
        <v>2</v>
      </c>
      <c r="D33" s="61" t="s">
        <v>3</v>
      </c>
      <c r="E33" s="61" t="s">
        <v>4</v>
      </c>
      <c r="F33" s="61" t="s">
        <v>5</v>
      </c>
      <c r="G33" s="62" t="s">
        <v>6</v>
      </c>
      <c r="I33" s="45" t="s">
        <v>28</v>
      </c>
      <c r="J33" s="44" t="s">
        <v>29</v>
      </c>
      <c r="K33" s="58">
        <f>(21072.7250135828+959.01906)*1000</f>
        <v>22031744.073582798</v>
      </c>
      <c r="L33" s="58">
        <f>(5261.878+235.819)*1000</f>
        <v>5497697</v>
      </c>
      <c r="M33" s="145">
        <f>99619+4264</f>
        <v>103883</v>
      </c>
      <c r="N33" s="58"/>
    </row>
    <row r="34" spans="1:14" x14ac:dyDescent="0.2">
      <c r="A34" s="24"/>
      <c r="B34" s="13">
        <v>2019</v>
      </c>
      <c r="C34" s="14" t="s">
        <v>7</v>
      </c>
      <c r="D34" s="15">
        <v>127515715.35000001</v>
      </c>
      <c r="E34" s="15">
        <v>46001526</v>
      </c>
      <c r="F34" s="18">
        <v>977721</v>
      </c>
      <c r="G34" s="25">
        <v>8527538</v>
      </c>
      <c r="I34" s="45" t="s">
        <v>28</v>
      </c>
      <c r="J34" s="44" t="s">
        <v>9</v>
      </c>
      <c r="K34" s="58">
        <f>61313.9703188815*1000-K33</f>
        <v>39282226.245298699</v>
      </c>
      <c r="L34" s="58">
        <f>5719.931*1000-L33</f>
        <v>222234</v>
      </c>
      <c r="M34" s="145">
        <f>334552-M33</f>
        <v>230669</v>
      </c>
      <c r="N34" s="58"/>
    </row>
    <row r="35" spans="1:14" x14ac:dyDescent="0.2">
      <c r="A35" s="24"/>
      <c r="B35" s="19"/>
      <c r="C35" s="14" t="s">
        <v>8</v>
      </c>
      <c r="D35" s="15">
        <v>289885298.33999902</v>
      </c>
      <c r="E35" s="15">
        <v>59209240</v>
      </c>
      <c r="F35" s="18">
        <v>1191312</v>
      </c>
      <c r="G35" s="25">
        <v>14631672</v>
      </c>
      <c r="I35" s="45" t="s">
        <v>28</v>
      </c>
      <c r="J35" s="44" t="s">
        <v>10</v>
      </c>
      <c r="K35" s="58"/>
      <c r="L35" s="58"/>
      <c r="M35" s="145"/>
      <c r="N35" s="58"/>
    </row>
    <row r="36" spans="1:14" x14ac:dyDescent="0.2">
      <c r="A36" s="24"/>
      <c r="B36" s="19"/>
      <c r="C36" s="14" t="s">
        <v>9</v>
      </c>
      <c r="D36" s="26">
        <v>515361534</v>
      </c>
      <c r="E36" s="26">
        <v>350738</v>
      </c>
      <c r="F36" s="27">
        <v>3434139</v>
      </c>
      <c r="G36" s="28">
        <v>39010751</v>
      </c>
      <c r="I36" s="45" t="s">
        <v>28</v>
      </c>
      <c r="J36" s="44" t="s">
        <v>30</v>
      </c>
      <c r="K36" s="58">
        <v>6944387.5392952487</v>
      </c>
      <c r="L36" s="58">
        <v>2649906</v>
      </c>
      <c r="M36" s="145">
        <v>62212</v>
      </c>
      <c r="N36" s="58"/>
    </row>
    <row r="37" spans="1:14" x14ac:dyDescent="0.2">
      <c r="A37" s="24"/>
      <c r="B37" s="19"/>
      <c r="C37" s="14" t="s">
        <v>10</v>
      </c>
      <c r="D37" s="15">
        <v>528786107.77999097</v>
      </c>
      <c r="E37" s="15">
        <v>352</v>
      </c>
      <c r="F37" s="18">
        <v>1774904</v>
      </c>
      <c r="G37" s="25">
        <v>61277743</v>
      </c>
      <c r="I37" s="67" t="s">
        <v>28</v>
      </c>
      <c r="J37" s="68" t="s">
        <v>19</v>
      </c>
      <c r="K37" s="58">
        <v>1608506.5300000012</v>
      </c>
      <c r="L37" s="58">
        <v>129944</v>
      </c>
      <c r="M37" s="145">
        <v>17106</v>
      </c>
      <c r="N37" s="58"/>
    </row>
    <row r="38" spans="1:14" x14ac:dyDescent="0.2">
      <c r="A38" s="24"/>
      <c r="B38" s="20">
        <v>2019</v>
      </c>
      <c r="C38" s="21"/>
      <c r="D38" s="22">
        <f>SUM(D34:D37)</f>
        <v>1461548655.46999</v>
      </c>
      <c r="E38" s="22">
        <f t="shared" ref="E38:F38" si="0">SUM(E34:E37)</f>
        <v>105561856</v>
      </c>
      <c r="F38" s="59">
        <f t="shared" si="0"/>
        <v>7378076</v>
      </c>
      <c r="G38" s="23">
        <v>123447704</v>
      </c>
      <c r="I38" s="46">
        <v>2021</v>
      </c>
      <c r="J38" s="47"/>
      <c r="K38" s="48">
        <f>SUM(K33:K37)</f>
        <v>69866864.388176739</v>
      </c>
      <c r="L38" s="48">
        <f t="shared" ref="L38:M38" si="1">SUM(L33:L37)</f>
        <v>8499781</v>
      </c>
      <c r="M38" s="146">
        <f t="shared" si="1"/>
        <v>413870</v>
      </c>
      <c r="N38" s="48"/>
    </row>
    <row r="39" spans="1:14" x14ac:dyDescent="0.2">
      <c r="A39" s="24"/>
      <c r="B39" s="8"/>
      <c r="C39" s="7"/>
      <c r="D39" s="7"/>
      <c r="E39" s="7"/>
      <c r="F39" s="17"/>
      <c r="G39" s="16"/>
      <c r="I39"/>
      <c r="J39"/>
      <c r="K39"/>
    </row>
    <row r="40" spans="1:14" x14ac:dyDescent="0.2">
      <c r="A40" s="24"/>
      <c r="B40" s="60" t="s">
        <v>1</v>
      </c>
      <c r="C40" s="61" t="s">
        <v>2</v>
      </c>
      <c r="D40" s="61" t="s">
        <v>3</v>
      </c>
      <c r="E40" s="61" t="s">
        <v>4</v>
      </c>
      <c r="F40" s="61" t="s">
        <v>5</v>
      </c>
      <c r="G40" s="62" t="s">
        <v>6</v>
      </c>
      <c r="I40" s="44" t="s">
        <v>32</v>
      </c>
      <c r="J40" s="44"/>
      <c r="K40" s="44"/>
      <c r="L40" s="44"/>
      <c r="M40" s="44"/>
      <c r="N40" s="41"/>
    </row>
    <row r="41" spans="1:14" x14ac:dyDescent="0.2">
      <c r="A41" s="24"/>
      <c r="B41" s="13">
        <v>2020</v>
      </c>
      <c r="C41" s="14" t="s">
        <v>7</v>
      </c>
      <c r="D41" s="15">
        <v>93181824.860000014</v>
      </c>
      <c r="E41" s="15">
        <v>32399245.969999999</v>
      </c>
      <c r="F41" s="18">
        <v>657857</v>
      </c>
      <c r="G41" s="25">
        <v>6143337</v>
      </c>
      <c r="I41" s="69">
        <v>2021</v>
      </c>
      <c r="J41" s="70" t="s">
        <v>2</v>
      </c>
      <c r="K41" s="71" t="s">
        <v>3</v>
      </c>
      <c r="L41" s="71" t="s">
        <v>26</v>
      </c>
      <c r="M41" s="71" t="s">
        <v>5</v>
      </c>
      <c r="N41" s="72" t="s">
        <v>6</v>
      </c>
    </row>
    <row r="42" spans="1:14" x14ac:dyDescent="0.2">
      <c r="A42" s="24"/>
      <c r="B42" s="19"/>
      <c r="C42" s="14" t="s">
        <v>8</v>
      </c>
      <c r="D42" s="15">
        <v>224264201.28999999</v>
      </c>
      <c r="E42" s="15">
        <v>43196189.030000001</v>
      </c>
      <c r="F42" s="18">
        <v>879964</v>
      </c>
      <c r="G42" s="25">
        <v>10511118</v>
      </c>
      <c r="I42" s="45" t="s">
        <v>32</v>
      </c>
      <c r="J42" s="44" t="s">
        <v>33</v>
      </c>
      <c r="K42" s="58">
        <v>142741212</v>
      </c>
      <c r="L42" s="58">
        <v>26390907</v>
      </c>
      <c r="M42" s="145">
        <v>565191</v>
      </c>
      <c r="N42" s="145">
        <v>7619043</v>
      </c>
    </row>
    <row r="43" spans="1:14" x14ac:dyDescent="0.2">
      <c r="A43" s="24"/>
      <c r="B43" s="19"/>
      <c r="C43" s="14" t="s">
        <v>39</v>
      </c>
      <c r="D43" s="26">
        <v>480530010.34281135</v>
      </c>
      <c r="E43" s="26">
        <v>155210</v>
      </c>
      <c r="F43" s="27">
        <v>3026048</v>
      </c>
      <c r="G43" s="28">
        <v>34498639</v>
      </c>
      <c r="I43" s="45" t="s">
        <v>32</v>
      </c>
      <c r="J43" s="44" t="s">
        <v>34</v>
      </c>
      <c r="K43" s="58">
        <v>50485363</v>
      </c>
      <c r="L43" s="58">
        <v>0</v>
      </c>
      <c r="M43" s="145">
        <v>283925</v>
      </c>
      <c r="N43" s="145">
        <v>2565944</v>
      </c>
    </row>
    <row r="44" spans="1:14" x14ac:dyDescent="0.2">
      <c r="A44" s="24"/>
      <c r="B44" s="19"/>
      <c r="C44" s="14" t="s">
        <v>10</v>
      </c>
      <c r="D44" s="15">
        <v>549782159.74999893</v>
      </c>
      <c r="E44" s="15">
        <v>0</v>
      </c>
      <c r="F44" s="18">
        <v>1597139</v>
      </c>
      <c r="G44" s="25">
        <v>55741050</v>
      </c>
      <c r="I44" s="45" t="s">
        <v>32</v>
      </c>
      <c r="J44" s="44" t="s">
        <v>35</v>
      </c>
      <c r="K44" s="58">
        <v>159908909</v>
      </c>
      <c r="L44" s="58">
        <v>0</v>
      </c>
      <c r="M44" s="145">
        <v>505796</v>
      </c>
      <c r="N44" s="145">
        <v>17066464</v>
      </c>
    </row>
    <row r="45" spans="1:14" x14ac:dyDescent="0.2">
      <c r="A45" s="24"/>
      <c r="B45" s="20">
        <v>2020</v>
      </c>
      <c r="C45" s="21"/>
      <c r="D45" s="22">
        <v>1347758196.2428102</v>
      </c>
      <c r="E45" s="22">
        <v>75750645</v>
      </c>
      <c r="F45" s="59">
        <v>6161008</v>
      </c>
      <c r="G45" s="23">
        <v>106894144</v>
      </c>
      <c r="I45" s="45" t="s">
        <v>32</v>
      </c>
      <c r="J45" s="44" t="s">
        <v>36</v>
      </c>
      <c r="K45" s="58">
        <v>45792212</v>
      </c>
      <c r="L45" s="58">
        <v>14684911</v>
      </c>
      <c r="M45" s="145">
        <v>298801</v>
      </c>
      <c r="N45" s="145">
        <v>2878662</v>
      </c>
    </row>
    <row r="46" spans="1:14" x14ac:dyDescent="0.2">
      <c r="A46" s="24"/>
      <c r="B46" s="8"/>
      <c r="C46" s="7"/>
      <c r="D46" s="7"/>
      <c r="E46" s="7"/>
      <c r="F46" s="17"/>
      <c r="G46" s="16"/>
      <c r="I46" s="67" t="s">
        <v>32</v>
      </c>
      <c r="J46" s="68" t="s">
        <v>19</v>
      </c>
      <c r="K46" s="58">
        <v>1340022</v>
      </c>
      <c r="L46" s="58">
        <v>224062</v>
      </c>
      <c r="M46" s="145">
        <v>8574</v>
      </c>
      <c r="N46" s="145">
        <v>66991</v>
      </c>
    </row>
    <row r="47" spans="1:14" x14ac:dyDescent="0.2">
      <c r="B47" s="60" t="s">
        <v>1</v>
      </c>
      <c r="C47" s="61" t="s">
        <v>2</v>
      </c>
      <c r="D47" s="61" t="s">
        <v>3</v>
      </c>
      <c r="E47" s="61" t="s">
        <v>4</v>
      </c>
      <c r="F47" s="61" t="s">
        <v>5</v>
      </c>
      <c r="G47" s="62" t="s">
        <v>6</v>
      </c>
      <c r="I47" s="67" t="s">
        <v>37</v>
      </c>
      <c r="J47" s="68" t="s">
        <v>38</v>
      </c>
      <c r="K47" s="58">
        <v>242979107</v>
      </c>
      <c r="L47" s="58">
        <v>0</v>
      </c>
      <c r="M47" s="147">
        <v>1555942</v>
      </c>
      <c r="N47" s="147">
        <v>18671304</v>
      </c>
    </row>
    <row r="48" spans="1:14" x14ac:dyDescent="0.2">
      <c r="B48" s="13">
        <v>2021</v>
      </c>
      <c r="C48" s="14" t="s">
        <v>7</v>
      </c>
      <c r="D48" s="15" cm="1">
        <f t="array" ref="D48">K6+K10+K15+K19+K24+K28+K36+K37:K37+K45+K46</f>
        <v>111458586.72929525</v>
      </c>
      <c r="E48" s="15" cm="1">
        <f t="array" ref="E48">L6+L10+L15+L19+L24+L28+L36+L37:L37+L45+L46</f>
        <v>39170320</v>
      </c>
      <c r="F48" s="18" cm="1">
        <f t="array" ref="F48">M6+M10+M15+M19+M24+M28+M36+M37:M37+M45+M46</f>
        <v>780700</v>
      </c>
      <c r="G48" s="25" cm="1">
        <f t="array" ref="G48">N6+N10+N15+N19+N24+N28+N36+N37:N37+N45+N46</f>
        <v>7120808</v>
      </c>
    </row>
    <row r="49" spans="2:13" x14ac:dyDescent="0.2">
      <c r="B49" s="19"/>
      <c r="C49" s="14" t="s">
        <v>8</v>
      </c>
      <c r="D49" s="15">
        <f>K7+K16+K33+K42</f>
        <v>253747034.17358279</v>
      </c>
      <c r="E49" s="15">
        <f>L7+L16+L33+L42</f>
        <v>49465590</v>
      </c>
      <c r="F49" s="18">
        <f>M7+M16+M33+M42</f>
        <v>996870</v>
      </c>
      <c r="G49" s="25">
        <f>N7+N16+N33+N42</f>
        <v>11434756</v>
      </c>
    </row>
    <row r="50" spans="2:13" x14ac:dyDescent="0.2">
      <c r="B50" s="19"/>
      <c r="C50" s="14" t="s">
        <v>39</v>
      </c>
      <c r="D50" s="26">
        <f>+K17+K8+K26+K34+K43+K47</f>
        <v>553272725.06529868</v>
      </c>
      <c r="E50" s="26">
        <f>+L17+L8+L26+L34+L43+L47</f>
        <v>232794</v>
      </c>
      <c r="F50" s="27">
        <f>+M17+M8+M26+M34+M43+M47</f>
        <v>3398104</v>
      </c>
      <c r="G50" s="28">
        <f>+N17+N8+N26+N34+N43+N47</f>
        <v>37048993</v>
      </c>
    </row>
    <row r="51" spans="2:13" x14ac:dyDescent="0.2">
      <c r="B51" s="19"/>
      <c r="C51" s="14" t="s">
        <v>10</v>
      </c>
      <c r="D51" s="15">
        <f>+K9+K18+K27+K35+K44</f>
        <v>563329339</v>
      </c>
      <c r="E51" s="15">
        <f>+L9+L18+L27+L35+L44</f>
        <v>0</v>
      </c>
      <c r="F51" s="18">
        <f>+M9+M18+M27+M35+M44</f>
        <v>1635881</v>
      </c>
      <c r="G51" s="25">
        <f>+N9+N18+N27+N35+N44</f>
        <v>55937845</v>
      </c>
      <c r="J51" s="73">
        <v>2015</v>
      </c>
      <c r="K51" s="74">
        <v>2019</v>
      </c>
      <c r="L51" s="74">
        <v>2020</v>
      </c>
      <c r="M51" s="74">
        <v>2021</v>
      </c>
    </row>
    <row r="52" spans="2:13" ht="13.5" thickBot="1" x14ac:dyDescent="0.25">
      <c r="B52" s="29">
        <v>2021</v>
      </c>
      <c r="C52" s="63"/>
      <c r="D52" s="64">
        <f>SUM(D48:D51)</f>
        <v>1481807684.9681768</v>
      </c>
      <c r="E52" s="64">
        <f t="shared" ref="E52:F52" si="2">SUM(E48:E51)</f>
        <v>88868704</v>
      </c>
      <c r="F52" s="65">
        <f t="shared" si="2"/>
        <v>6811555</v>
      </c>
      <c r="G52" s="66">
        <f>SUM(G48:G51)</f>
        <v>111542402</v>
      </c>
      <c r="I52" s="14" t="s">
        <v>7</v>
      </c>
      <c r="J52" s="15">
        <v>99</v>
      </c>
      <c r="K52" s="15">
        <v>128</v>
      </c>
      <c r="L52" s="15">
        <v>93</v>
      </c>
      <c r="M52" s="15">
        <v>111</v>
      </c>
    </row>
    <row r="53" spans="2:13" x14ac:dyDescent="0.2">
      <c r="I53" s="14" t="s">
        <v>8</v>
      </c>
      <c r="J53" s="15">
        <v>211</v>
      </c>
      <c r="K53" s="15">
        <v>290</v>
      </c>
      <c r="L53" s="15">
        <v>224</v>
      </c>
      <c r="M53" s="15">
        <v>253</v>
      </c>
    </row>
    <row r="54" spans="2:13" x14ac:dyDescent="0.2">
      <c r="I54" s="14" t="s">
        <v>9</v>
      </c>
      <c r="J54" s="15">
        <v>477</v>
      </c>
      <c r="K54" s="26">
        <v>515</v>
      </c>
      <c r="L54" s="26">
        <v>481</v>
      </c>
      <c r="M54" s="26">
        <v>553</v>
      </c>
    </row>
    <row r="55" spans="2:13" x14ac:dyDescent="0.2">
      <c r="I55" s="14" t="s">
        <v>10</v>
      </c>
      <c r="J55" s="15">
        <v>497</v>
      </c>
      <c r="K55" s="15">
        <v>529</v>
      </c>
      <c r="L55" s="15">
        <v>550</v>
      </c>
      <c r="M55" s="15">
        <v>563</v>
      </c>
    </row>
    <row r="58" spans="2:13" x14ac:dyDescent="0.2">
      <c r="D58" s="57"/>
      <c r="E58" s="57"/>
    </row>
    <row r="64" spans="2:13" x14ac:dyDescent="0.2">
      <c r="B64" t="s">
        <v>11</v>
      </c>
    </row>
    <row r="65" spans="2:2" x14ac:dyDescent="0.2">
      <c r="B65" t="s">
        <v>12</v>
      </c>
    </row>
  </sheetData>
  <mergeCells count="2">
    <mergeCell ref="B2:G2"/>
    <mergeCell ref="B3:G3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1"/>
  <sheetViews>
    <sheetView tabSelected="1" workbookViewId="0">
      <selection activeCell="K14" sqref="K14"/>
    </sheetView>
  </sheetViews>
  <sheetFormatPr defaultColWidth="9.140625" defaultRowHeight="12.75" x14ac:dyDescent="0.2"/>
  <cols>
    <col min="1" max="1" width="9.140625" style="77"/>
    <col min="2" max="2" width="39.42578125" style="77" bestFit="1" customWidth="1"/>
    <col min="3" max="3" width="12.85546875" style="77" bestFit="1" customWidth="1"/>
    <col min="4" max="4" width="7.85546875" style="77" bestFit="1" customWidth="1"/>
    <col min="5" max="5" width="12.85546875" style="77" bestFit="1" customWidth="1"/>
    <col min="6" max="6" width="6.85546875" style="77" bestFit="1" customWidth="1"/>
    <col min="7" max="7" width="16" style="77" customWidth="1"/>
    <col min="8" max="8" width="18" style="77" bestFit="1" customWidth="1"/>
    <col min="9" max="9" width="12.85546875" style="77" bestFit="1" customWidth="1"/>
    <col min="10" max="10" width="6.85546875" style="77" bestFit="1" customWidth="1"/>
    <col min="11" max="11" width="17.28515625" style="77" bestFit="1" customWidth="1"/>
    <col min="12" max="12" width="6.85546875" style="77" bestFit="1" customWidth="1"/>
    <col min="13" max="13" width="3.28515625" style="77" customWidth="1"/>
    <col min="14" max="14" width="19.42578125" style="77" customWidth="1"/>
    <col min="15" max="17" width="9.140625" style="77"/>
    <col min="18" max="18" width="9.5703125" style="77" customWidth="1"/>
    <col min="19" max="19" width="9.140625" style="77"/>
    <col min="20" max="20" width="16.7109375" style="77" customWidth="1"/>
    <col min="21" max="22" width="9.140625" style="77"/>
    <col min="23" max="23" width="16.7109375" style="77" customWidth="1"/>
    <col min="24" max="16384" width="9.140625" style="77"/>
  </cols>
  <sheetData>
    <row r="1" spans="1:13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ht="15" x14ac:dyDescent="0.2">
      <c r="A2" s="76"/>
      <c r="B2" s="78" t="s">
        <v>24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3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3" x14ac:dyDescent="0.2">
      <c r="A4" s="76"/>
      <c r="B4" s="108"/>
      <c r="C4" s="109"/>
      <c r="D4" s="109" t="s">
        <v>13</v>
      </c>
      <c r="E4" s="131" t="s">
        <v>14</v>
      </c>
      <c r="F4" s="132"/>
      <c r="G4" s="131" t="s">
        <v>15</v>
      </c>
      <c r="H4" s="132"/>
      <c r="I4" s="131" t="s">
        <v>16</v>
      </c>
      <c r="J4" s="132"/>
      <c r="K4" s="131" t="s">
        <v>17</v>
      </c>
      <c r="L4" s="133"/>
      <c r="M4" s="76"/>
    </row>
    <row r="5" spans="1:13" x14ac:dyDescent="0.2">
      <c r="A5" s="76"/>
      <c r="B5" s="110"/>
      <c r="C5" s="79" t="s">
        <v>18</v>
      </c>
      <c r="D5" s="79" t="s">
        <v>19</v>
      </c>
      <c r="E5" s="79" t="s">
        <v>18</v>
      </c>
      <c r="F5" s="79" t="s">
        <v>19</v>
      </c>
      <c r="G5" s="79" t="s">
        <v>18</v>
      </c>
      <c r="H5" s="79" t="s">
        <v>19</v>
      </c>
      <c r="I5" s="79" t="s">
        <v>18</v>
      </c>
      <c r="J5" s="79" t="s">
        <v>19</v>
      </c>
      <c r="K5" s="79" t="s">
        <v>18</v>
      </c>
      <c r="L5" s="111" t="s">
        <v>19</v>
      </c>
      <c r="M5" s="76"/>
    </row>
    <row r="6" spans="1:13" x14ac:dyDescent="0.2">
      <c r="A6" s="76"/>
      <c r="B6" s="112">
        <v>2015</v>
      </c>
      <c r="C6" s="81">
        <v>125630</v>
      </c>
      <c r="D6" s="81"/>
      <c r="E6" s="81">
        <v>115068</v>
      </c>
      <c r="F6" s="81"/>
      <c r="G6" s="81">
        <v>346456</v>
      </c>
      <c r="H6" s="81"/>
      <c r="I6" s="81">
        <v>89747</v>
      </c>
      <c r="J6" s="81"/>
      <c r="K6" s="81">
        <v>82921</v>
      </c>
      <c r="L6" s="113"/>
      <c r="M6" s="76"/>
    </row>
    <row r="7" spans="1:13" x14ac:dyDescent="0.2">
      <c r="A7" s="76"/>
      <c r="B7" s="112">
        <v>2016</v>
      </c>
      <c r="C7" s="81">
        <v>150007</v>
      </c>
      <c r="D7" s="81"/>
      <c r="E7" s="81">
        <v>157848</v>
      </c>
      <c r="F7" s="81"/>
      <c r="G7" s="81">
        <v>352663</v>
      </c>
      <c r="H7" s="81"/>
      <c r="I7" s="81">
        <v>100505</v>
      </c>
      <c r="J7" s="81">
        <v>33</v>
      </c>
      <c r="K7" s="81">
        <v>112069</v>
      </c>
      <c r="L7" s="113"/>
      <c r="M7" s="76"/>
    </row>
    <row r="8" spans="1:13" x14ac:dyDescent="0.2">
      <c r="A8" s="76"/>
      <c r="B8" s="112">
        <v>2017</v>
      </c>
      <c r="C8" s="81">
        <v>146591</v>
      </c>
      <c r="D8" s="81"/>
      <c r="E8" s="81">
        <v>168555</v>
      </c>
      <c r="F8" s="81"/>
      <c r="G8" s="81">
        <v>352162</v>
      </c>
      <c r="H8" s="81"/>
      <c r="I8" s="81">
        <v>102877</v>
      </c>
      <c r="J8" s="81">
        <v>236</v>
      </c>
      <c r="K8" s="81">
        <v>140798</v>
      </c>
      <c r="L8" s="113"/>
      <c r="M8" s="76"/>
    </row>
    <row r="9" spans="1:13" x14ac:dyDescent="0.2">
      <c r="A9" s="76"/>
      <c r="B9" s="112">
        <v>2018</v>
      </c>
      <c r="C9" s="81">
        <v>144972</v>
      </c>
      <c r="D9" s="81"/>
      <c r="E9" s="81">
        <v>179163</v>
      </c>
      <c r="F9" s="81">
        <v>13</v>
      </c>
      <c r="G9" s="81">
        <v>371666</v>
      </c>
      <c r="H9" s="81">
        <v>302</v>
      </c>
      <c r="I9" s="81">
        <v>101694</v>
      </c>
      <c r="J9" s="81">
        <v>1830</v>
      </c>
      <c r="K9" s="81">
        <v>168209</v>
      </c>
      <c r="L9" s="113">
        <v>41</v>
      </c>
      <c r="M9" s="76"/>
    </row>
    <row r="10" spans="1:13" x14ac:dyDescent="0.2">
      <c r="A10" s="76"/>
      <c r="B10" s="112">
        <v>2019</v>
      </c>
      <c r="C10" s="81">
        <v>123072</v>
      </c>
      <c r="D10" s="81"/>
      <c r="E10" s="81">
        <v>195484</v>
      </c>
      <c r="F10" s="81">
        <v>72</v>
      </c>
      <c r="G10" s="81">
        <v>394993</v>
      </c>
      <c r="H10" s="81">
        <v>2293</v>
      </c>
      <c r="I10" s="81">
        <v>85747</v>
      </c>
      <c r="J10" s="81">
        <v>7011</v>
      </c>
      <c r="K10" s="81">
        <v>168612</v>
      </c>
      <c r="L10" s="113">
        <v>437</v>
      </c>
      <c r="M10" s="76"/>
    </row>
    <row r="11" spans="1:13" x14ac:dyDescent="0.2">
      <c r="A11" s="76"/>
      <c r="B11" s="112">
        <v>2020</v>
      </c>
      <c r="C11" s="81">
        <v>73515</v>
      </c>
      <c r="D11" s="82"/>
      <c r="E11" s="81">
        <f>E33</f>
        <v>142567</v>
      </c>
      <c r="F11" s="81">
        <f>E37</f>
        <v>2042</v>
      </c>
      <c r="G11" s="81">
        <v>251944</v>
      </c>
      <c r="H11" s="81">
        <v>6946</v>
      </c>
      <c r="I11" s="81">
        <f>E58</f>
        <v>56911</v>
      </c>
      <c r="J11" s="81">
        <f>E64</f>
        <v>6321</v>
      </c>
      <c r="K11" s="81">
        <f>E73</f>
        <v>115704</v>
      </c>
      <c r="L11" s="113">
        <f>E77</f>
        <v>1907</v>
      </c>
      <c r="M11" s="76"/>
    </row>
    <row r="12" spans="1:13" x14ac:dyDescent="0.2">
      <c r="A12" s="76"/>
      <c r="B12" s="114">
        <v>2021</v>
      </c>
      <c r="C12" s="115">
        <f>+E23</f>
        <v>62212</v>
      </c>
      <c r="D12" s="116">
        <f>+E25</f>
        <v>17106</v>
      </c>
      <c r="E12" s="115">
        <f>+E34</f>
        <v>163625</v>
      </c>
      <c r="F12" s="115">
        <f>+E38</f>
        <v>3711</v>
      </c>
      <c r="G12" s="115">
        <f>+E47</f>
        <v>298801</v>
      </c>
      <c r="H12" s="115">
        <f>+E50</f>
        <v>8574</v>
      </c>
      <c r="I12" s="115">
        <f>+E59</f>
        <v>59988</v>
      </c>
      <c r="J12" s="115">
        <f>+E65</f>
        <v>12759</v>
      </c>
      <c r="K12" s="115">
        <f>+E74</f>
        <v>151101</v>
      </c>
      <c r="L12" s="117">
        <f>+E78</f>
        <v>2823</v>
      </c>
      <c r="M12" s="76"/>
    </row>
    <row r="13" spans="1:13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3" ht="15" x14ac:dyDescent="0.2">
      <c r="A14" s="76"/>
      <c r="B14" s="78" t="s">
        <v>25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3" x14ac:dyDescent="0.2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3" ht="12.75" customHeight="1" x14ac:dyDescent="0.2">
      <c r="A16" s="76"/>
      <c r="B16" s="76"/>
      <c r="C16" s="76"/>
      <c r="D16" s="76"/>
      <c r="E16" s="90" t="s">
        <v>5</v>
      </c>
      <c r="F16" s="134" t="s">
        <v>6</v>
      </c>
      <c r="G16" s="135"/>
      <c r="H16" s="90" t="s">
        <v>20</v>
      </c>
      <c r="I16" s="134" t="s">
        <v>4</v>
      </c>
      <c r="J16" s="135"/>
      <c r="K16" s="90" t="s">
        <v>21</v>
      </c>
      <c r="L16" s="76"/>
    </row>
    <row r="17" spans="1:14" x14ac:dyDescent="0.2">
      <c r="A17" s="76"/>
      <c r="B17" s="94" t="s">
        <v>13</v>
      </c>
      <c r="C17" s="95" t="s">
        <v>18</v>
      </c>
      <c r="D17" s="96">
        <v>2015</v>
      </c>
      <c r="E17" s="119">
        <v>125630</v>
      </c>
      <c r="F17" s="136">
        <v>1011591</v>
      </c>
      <c r="G17" s="137"/>
      <c r="H17" s="97">
        <v>16066117.66</v>
      </c>
      <c r="I17" s="138">
        <v>2134329</v>
      </c>
      <c r="J17" s="137"/>
      <c r="K17" s="98">
        <v>13931788.66</v>
      </c>
      <c r="L17" s="76"/>
    </row>
    <row r="18" spans="1:14" x14ac:dyDescent="0.2">
      <c r="A18" s="76"/>
      <c r="B18" s="99"/>
      <c r="C18" s="83" t="s">
        <v>18</v>
      </c>
      <c r="D18" s="80">
        <v>2016</v>
      </c>
      <c r="E18" s="118">
        <v>150007</v>
      </c>
      <c r="F18" s="125">
        <v>1204780</v>
      </c>
      <c r="G18" s="126"/>
      <c r="H18" s="84">
        <v>18729222.960000001</v>
      </c>
      <c r="I18" s="127">
        <v>2383448</v>
      </c>
      <c r="J18" s="126"/>
      <c r="K18" s="100">
        <v>16345774.960000001</v>
      </c>
      <c r="L18" s="76"/>
    </row>
    <row r="19" spans="1:14" x14ac:dyDescent="0.2">
      <c r="A19" s="76"/>
      <c r="B19" s="99"/>
      <c r="C19" s="83" t="s">
        <v>18</v>
      </c>
      <c r="D19" s="80">
        <v>2017</v>
      </c>
      <c r="E19" s="118">
        <v>146591</v>
      </c>
      <c r="F19" s="125">
        <v>1184051</v>
      </c>
      <c r="G19" s="126"/>
      <c r="H19" s="84">
        <v>17644658.760000098</v>
      </c>
      <c r="I19" s="127">
        <v>2492532</v>
      </c>
      <c r="J19" s="126"/>
      <c r="K19" s="100">
        <v>15152126.76</v>
      </c>
      <c r="L19" s="76"/>
    </row>
    <row r="20" spans="1:14" x14ac:dyDescent="0.2">
      <c r="A20" s="76"/>
      <c r="B20" s="99"/>
      <c r="C20" s="83" t="s">
        <v>18</v>
      </c>
      <c r="D20" s="80">
        <v>2018</v>
      </c>
      <c r="E20" s="118">
        <v>144972</v>
      </c>
      <c r="F20" s="125">
        <v>1175395</v>
      </c>
      <c r="G20" s="126"/>
      <c r="H20" s="84">
        <v>17624218.039999999</v>
      </c>
      <c r="I20" s="127">
        <v>2659184</v>
      </c>
      <c r="J20" s="126"/>
      <c r="K20" s="100">
        <v>14965034.039999999</v>
      </c>
      <c r="L20" s="76"/>
    </row>
    <row r="21" spans="1:14" x14ac:dyDescent="0.2">
      <c r="A21" s="76"/>
      <c r="B21" s="99"/>
      <c r="C21" s="83" t="s">
        <v>18</v>
      </c>
      <c r="D21" s="80">
        <v>2019</v>
      </c>
      <c r="E21" s="118">
        <v>123072</v>
      </c>
      <c r="F21" s="125">
        <v>996570</v>
      </c>
      <c r="G21" s="126"/>
      <c r="H21" s="84">
        <v>14211740.189999999</v>
      </c>
      <c r="I21" s="127">
        <v>2510692</v>
      </c>
      <c r="J21" s="126"/>
      <c r="K21" s="100">
        <v>11701048.189999999</v>
      </c>
      <c r="L21" s="76"/>
    </row>
    <row r="22" spans="1:14" x14ac:dyDescent="0.2">
      <c r="A22" s="76"/>
      <c r="B22" s="101"/>
      <c r="C22" s="85" t="s">
        <v>18</v>
      </c>
      <c r="D22" s="86">
        <v>2020</v>
      </c>
      <c r="E22" s="118">
        <v>73515</v>
      </c>
      <c r="F22" s="125"/>
      <c r="G22" s="126"/>
      <c r="H22" s="84">
        <v>7405690</v>
      </c>
      <c r="I22" s="127">
        <v>2571185</v>
      </c>
      <c r="J22" s="126"/>
      <c r="K22" s="100">
        <f>H22-I22</f>
        <v>4834505</v>
      </c>
      <c r="L22" s="76"/>
    </row>
    <row r="23" spans="1:14" x14ac:dyDescent="0.2">
      <c r="A23" s="76"/>
      <c r="B23" s="101"/>
      <c r="C23" s="85" t="s">
        <v>18</v>
      </c>
      <c r="D23" s="86">
        <v>2021</v>
      </c>
      <c r="E23" s="118">
        <v>62212</v>
      </c>
      <c r="F23" s="125"/>
      <c r="G23" s="126"/>
      <c r="H23" s="84">
        <v>6944387.5392952487</v>
      </c>
      <c r="I23" s="127">
        <v>2649906</v>
      </c>
      <c r="J23" s="126"/>
      <c r="K23" s="100"/>
      <c r="L23" s="76"/>
    </row>
    <row r="24" spans="1:14" x14ac:dyDescent="0.2">
      <c r="A24" s="76"/>
      <c r="B24" s="101"/>
      <c r="C24" s="85" t="s">
        <v>19</v>
      </c>
      <c r="D24" s="86">
        <v>2020</v>
      </c>
      <c r="E24" s="139" t="s">
        <v>31</v>
      </c>
      <c r="F24" s="140"/>
      <c r="G24" s="140"/>
      <c r="H24" s="140"/>
      <c r="I24" s="140"/>
      <c r="J24" s="140"/>
      <c r="K24" s="141"/>
      <c r="L24" s="76"/>
    </row>
    <row r="25" spans="1:14" x14ac:dyDescent="0.2">
      <c r="A25" s="76"/>
      <c r="B25" s="101"/>
      <c r="C25" s="85" t="s">
        <v>19</v>
      </c>
      <c r="D25" s="87">
        <v>2021</v>
      </c>
      <c r="E25" s="118">
        <v>17106</v>
      </c>
      <c r="F25" s="125"/>
      <c r="G25" s="126"/>
      <c r="H25" s="84">
        <v>1608506.5300000012</v>
      </c>
      <c r="I25" s="127">
        <v>129944</v>
      </c>
      <c r="J25" s="126"/>
      <c r="K25" s="100"/>
      <c r="L25" s="76"/>
    </row>
    <row r="26" spans="1:14" x14ac:dyDescent="0.2">
      <c r="A26" s="76"/>
      <c r="B26" s="102" t="s">
        <v>13</v>
      </c>
      <c r="C26" s="103"/>
      <c r="D26" s="104"/>
      <c r="E26" s="142">
        <f>SUM(E17:E25)</f>
        <v>843105</v>
      </c>
      <c r="F26" s="128">
        <f>SUM(F17:G21)</f>
        <v>5572387</v>
      </c>
      <c r="G26" s="129"/>
      <c r="H26" s="105">
        <f>SUM(H17:H25)</f>
        <v>100234541.67929536</v>
      </c>
      <c r="I26" s="130">
        <f>SUM(I17:J25)</f>
        <v>17531220</v>
      </c>
      <c r="J26" s="130"/>
      <c r="K26" s="106">
        <f>SUM(K17:K22)</f>
        <v>76930277.609999999</v>
      </c>
      <c r="L26" s="76"/>
      <c r="N26" s="88"/>
    </row>
    <row r="27" spans="1:14" x14ac:dyDescent="0.2">
      <c r="A27" s="76"/>
      <c r="B27" s="89"/>
      <c r="C27" s="90"/>
      <c r="D27" s="89"/>
      <c r="E27" s="89"/>
      <c r="F27" s="123"/>
      <c r="G27" s="123"/>
      <c r="H27" s="89"/>
      <c r="I27" s="124"/>
      <c r="J27" s="124"/>
      <c r="K27" s="89"/>
      <c r="L27" s="76"/>
    </row>
    <row r="28" spans="1:14" x14ac:dyDescent="0.2">
      <c r="A28" s="76"/>
      <c r="B28" s="94" t="s">
        <v>14</v>
      </c>
      <c r="C28" s="95" t="s">
        <v>18</v>
      </c>
      <c r="D28" s="96">
        <v>2015</v>
      </c>
      <c r="E28" s="119">
        <v>115068</v>
      </c>
      <c r="F28" s="136">
        <v>898016</v>
      </c>
      <c r="G28" s="137"/>
      <c r="H28" s="97">
        <v>12996137.41</v>
      </c>
      <c r="I28" s="138">
        <v>5898598</v>
      </c>
      <c r="J28" s="137"/>
      <c r="K28" s="98">
        <v>7097539.4100000104</v>
      </c>
      <c r="L28" s="76"/>
    </row>
    <row r="29" spans="1:14" x14ac:dyDescent="0.2">
      <c r="A29" s="76"/>
      <c r="B29" s="99"/>
      <c r="C29" s="83" t="s">
        <v>18</v>
      </c>
      <c r="D29" s="80">
        <v>2016</v>
      </c>
      <c r="E29" s="118">
        <v>157848</v>
      </c>
      <c r="F29" s="125">
        <v>1391029</v>
      </c>
      <c r="G29" s="126"/>
      <c r="H29" s="84">
        <v>19532763.84</v>
      </c>
      <c r="I29" s="127">
        <v>8127071</v>
      </c>
      <c r="J29" s="126"/>
      <c r="K29" s="100">
        <v>11405692.84</v>
      </c>
      <c r="L29" s="76"/>
    </row>
    <row r="30" spans="1:14" x14ac:dyDescent="0.2">
      <c r="A30" s="76"/>
      <c r="B30" s="99"/>
      <c r="C30" s="83" t="s">
        <v>18</v>
      </c>
      <c r="D30" s="80">
        <v>2017</v>
      </c>
      <c r="E30" s="118">
        <v>168555</v>
      </c>
      <c r="F30" s="125">
        <v>1557254</v>
      </c>
      <c r="G30" s="126"/>
      <c r="H30" s="84">
        <v>20995409.550000001</v>
      </c>
      <c r="I30" s="127">
        <v>9081963</v>
      </c>
      <c r="J30" s="126"/>
      <c r="K30" s="100">
        <v>11913446.550000001</v>
      </c>
      <c r="L30" s="76"/>
    </row>
    <row r="31" spans="1:14" x14ac:dyDescent="0.2">
      <c r="A31" s="76"/>
      <c r="B31" s="99"/>
      <c r="C31" s="83" t="s">
        <v>18</v>
      </c>
      <c r="D31" s="80">
        <v>2018</v>
      </c>
      <c r="E31" s="118">
        <v>179163</v>
      </c>
      <c r="F31" s="125">
        <v>1693023</v>
      </c>
      <c r="G31" s="126"/>
      <c r="H31" s="84">
        <v>23027305.609999899</v>
      </c>
      <c r="I31" s="127">
        <v>9989531</v>
      </c>
      <c r="J31" s="126"/>
      <c r="K31" s="100">
        <v>13037774.609999999</v>
      </c>
      <c r="L31" s="76"/>
    </row>
    <row r="32" spans="1:14" x14ac:dyDescent="0.2">
      <c r="A32" s="76"/>
      <c r="B32" s="99"/>
      <c r="C32" s="83" t="s">
        <v>18</v>
      </c>
      <c r="D32" s="80">
        <v>2019</v>
      </c>
      <c r="E32" s="118">
        <v>195484</v>
      </c>
      <c r="F32" s="125">
        <v>1746012</v>
      </c>
      <c r="G32" s="126"/>
      <c r="H32" s="84">
        <v>23773287.699999899</v>
      </c>
      <c r="I32" s="127">
        <v>11100011</v>
      </c>
      <c r="J32" s="126"/>
      <c r="K32" s="100">
        <v>12673276.699999999</v>
      </c>
      <c r="L32" s="76"/>
    </row>
    <row r="33" spans="1:14" x14ac:dyDescent="0.2">
      <c r="A33" s="76"/>
      <c r="B33" s="99"/>
      <c r="C33" s="83" t="s">
        <v>18</v>
      </c>
      <c r="D33" s="80">
        <v>2020</v>
      </c>
      <c r="E33" s="118">
        <v>142567</v>
      </c>
      <c r="F33" s="125">
        <v>1340722</v>
      </c>
      <c r="G33" s="126"/>
      <c r="H33" s="84">
        <v>18985460</v>
      </c>
      <c r="I33" s="127">
        <v>7652408</v>
      </c>
      <c r="J33" s="126"/>
      <c r="K33" s="100">
        <f>+H33-I33</f>
        <v>11333052</v>
      </c>
    </row>
    <row r="34" spans="1:14" x14ac:dyDescent="0.2">
      <c r="A34" s="76"/>
      <c r="B34" s="99"/>
      <c r="C34" s="83" t="s">
        <v>18</v>
      </c>
      <c r="D34" s="80">
        <v>2021</v>
      </c>
      <c r="E34" s="118">
        <f>+Midttrafik!I16</f>
        <v>163625</v>
      </c>
      <c r="F34" s="125">
        <f>+Midttrafik!J16</f>
        <v>1670314</v>
      </c>
      <c r="G34" s="126"/>
      <c r="H34" s="84">
        <f>+Midttrafik!F16</f>
        <v>19075902.119999997</v>
      </c>
      <c r="I34" s="127">
        <f>+Midttrafik!G16</f>
        <v>7075600</v>
      </c>
      <c r="J34" s="126"/>
      <c r="K34" s="100">
        <f>+Midttrafik!H16</f>
        <v>26151502.119999997</v>
      </c>
    </row>
    <row r="35" spans="1:14" x14ac:dyDescent="0.2">
      <c r="A35" s="76"/>
      <c r="B35" s="99"/>
      <c r="C35" s="83" t="s">
        <v>19</v>
      </c>
      <c r="D35" s="80">
        <v>2018</v>
      </c>
      <c r="E35" s="118">
        <v>13</v>
      </c>
      <c r="F35" s="125">
        <v>69</v>
      </c>
      <c r="G35" s="126"/>
      <c r="H35" s="84">
        <v>831.28</v>
      </c>
      <c r="I35" s="127">
        <v>300</v>
      </c>
      <c r="J35" s="126"/>
      <c r="K35" s="100">
        <v>531.28</v>
      </c>
      <c r="L35" s="76"/>
    </row>
    <row r="36" spans="1:14" x14ac:dyDescent="0.2">
      <c r="A36" s="76"/>
      <c r="B36" s="99"/>
      <c r="C36" s="83" t="s">
        <v>19</v>
      </c>
      <c r="D36" s="80">
        <v>2019</v>
      </c>
      <c r="E36" s="118">
        <v>72</v>
      </c>
      <c r="F36" s="125">
        <v>585</v>
      </c>
      <c r="G36" s="126"/>
      <c r="H36" s="84">
        <v>9202.14</v>
      </c>
      <c r="I36" s="127">
        <v>1972</v>
      </c>
      <c r="J36" s="126"/>
      <c r="K36" s="100">
        <v>7230.14</v>
      </c>
      <c r="L36" s="76"/>
    </row>
    <row r="37" spans="1:14" x14ac:dyDescent="0.2">
      <c r="A37" s="76"/>
      <c r="B37" s="101"/>
      <c r="C37" s="83" t="s">
        <v>19</v>
      </c>
      <c r="D37" s="80">
        <v>2020</v>
      </c>
      <c r="E37" s="118">
        <v>2042</v>
      </c>
      <c r="F37" s="125">
        <v>21420</v>
      </c>
      <c r="G37" s="126"/>
      <c r="H37" s="84">
        <v>275926.86</v>
      </c>
      <c r="I37" s="127">
        <v>51942</v>
      </c>
      <c r="J37" s="126"/>
      <c r="K37" s="100">
        <f>+H37-I37</f>
        <v>223984.86</v>
      </c>
    </row>
    <row r="38" spans="1:14" x14ac:dyDescent="0.2">
      <c r="A38" s="76"/>
      <c r="B38" s="101"/>
      <c r="C38" s="83" t="s">
        <v>19</v>
      </c>
      <c r="D38" s="80">
        <v>2021</v>
      </c>
      <c r="E38" s="118">
        <f>+Midttrafik!I17</f>
        <v>3711</v>
      </c>
      <c r="F38" s="125">
        <f>+Midttrafik!J17</f>
        <v>37016</v>
      </c>
      <c r="G38" s="126"/>
      <c r="H38" s="84">
        <f>+Midttrafik!F17</f>
        <v>456648.54</v>
      </c>
      <c r="I38" s="127">
        <f>+Midttrafik!G17</f>
        <v>95930</v>
      </c>
      <c r="J38" s="126"/>
      <c r="K38" s="100">
        <f>+Midttrafik!H17</f>
        <v>552578.54</v>
      </c>
    </row>
    <row r="39" spans="1:14" x14ac:dyDescent="0.2">
      <c r="A39" s="76"/>
      <c r="B39" s="102" t="s">
        <v>14</v>
      </c>
      <c r="C39" s="103"/>
      <c r="D39" s="104"/>
      <c r="E39" s="142">
        <f>SUM(E28:E38)</f>
        <v>1128148</v>
      </c>
      <c r="F39" s="128">
        <f>SUM(F28:G38)</f>
        <v>10355460</v>
      </c>
      <c r="G39" s="129"/>
      <c r="H39" s="105">
        <f>SUM(H28:H38)</f>
        <v>139128875.04999977</v>
      </c>
      <c r="I39" s="130">
        <f>SUM(I28:J38)</f>
        <v>59075326</v>
      </c>
      <c r="J39" s="130"/>
      <c r="K39" s="106">
        <f>SUM(K28:K38)</f>
        <v>94396609.050000027</v>
      </c>
      <c r="L39" s="76"/>
    </row>
    <row r="40" spans="1:14" x14ac:dyDescent="0.2">
      <c r="A40" s="76"/>
      <c r="B40" s="89"/>
      <c r="C40" s="90"/>
      <c r="D40" s="89"/>
      <c r="E40" s="89"/>
      <c r="F40" s="123"/>
      <c r="G40" s="123"/>
      <c r="H40" s="89"/>
      <c r="I40" s="124"/>
      <c r="J40" s="124"/>
      <c r="K40" s="89"/>
      <c r="L40" s="76"/>
    </row>
    <row r="41" spans="1:14" x14ac:dyDescent="0.2">
      <c r="A41" s="76"/>
      <c r="B41" s="94" t="s">
        <v>15</v>
      </c>
      <c r="C41" s="95" t="s">
        <v>18</v>
      </c>
      <c r="D41" s="96">
        <v>2015</v>
      </c>
      <c r="E41" s="119">
        <v>346456</v>
      </c>
      <c r="F41" s="136">
        <v>2564050</v>
      </c>
      <c r="G41" s="137"/>
      <c r="H41" s="97">
        <v>44887519.6599999</v>
      </c>
      <c r="I41" s="138">
        <v>13594145</v>
      </c>
      <c r="J41" s="137"/>
      <c r="K41" s="98">
        <v>31293374.6599999</v>
      </c>
      <c r="L41" s="76"/>
    </row>
    <row r="42" spans="1:14" x14ac:dyDescent="0.2">
      <c r="A42" s="76"/>
      <c r="B42" s="99"/>
      <c r="C42" s="83" t="s">
        <v>18</v>
      </c>
      <c r="D42" s="80">
        <v>2016</v>
      </c>
      <c r="E42" s="118">
        <v>352663</v>
      </c>
      <c r="F42" s="125">
        <v>2811992</v>
      </c>
      <c r="G42" s="126"/>
      <c r="H42" s="84">
        <v>43946901.010000102</v>
      </c>
      <c r="I42" s="127">
        <v>15263991</v>
      </c>
      <c r="J42" s="126"/>
      <c r="K42" s="100">
        <v>28682910.010000002</v>
      </c>
      <c r="L42" s="76"/>
    </row>
    <row r="43" spans="1:14" x14ac:dyDescent="0.2">
      <c r="A43" s="76"/>
      <c r="B43" s="99"/>
      <c r="C43" s="83" t="s">
        <v>18</v>
      </c>
      <c r="D43" s="80">
        <v>2017</v>
      </c>
      <c r="E43" s="118">
        <v>352162</v>
      </c>
      <c r="F43" s="125">
        <v>2835468</v>
      </c>
      <c r="G43" s="126"/>
      <c r="H43" s="84">
        <v>42527568.139999896</v>
      </c>
      <c r="I43" s="127">
        <v>15592502</v>
      </c>
      <c r="J43" s="126"/>
      <c r="K43" s="100">
        <v>26935066.140000001</v>
      </c>
      <c r="L43" s="76"/>
    </row>
    <row r="44" spans="1:14" x14ac:dyDescent="0.2">
      <c r="A44" s="76"/>
      <c r="B44" s="99"/>
      <c r="C44" s="83" t="s">
        <v>18</v>
      </c>
      <c r="D44" s="80">
        <v>2018</v>
      </c>
      <c r="E44" s="118">
        <v>371666</v>
      </c>
      <c r="F44" s="125">
        <v>3055190</v>
      </c>
      <c r="G44" s="126"/>
      <c r="H44" s="84">
        <v>47617049.450000003</v>
      </c>
      <c r="I44" s="127">
        <v>16058109</v>
      </c>
      <c r="J44" s="126"/>
      <c r="K44" s="100">
        <v>31558940.449999999</v>
      </c>
      <c r="L44" s="76"/>
    </row>
    <row r="45" spans="1:14" x14ac:dyDescent="0.2">
      <c r="A45" s="76"/>
      <c r="B45" s="99"/>
      <c r="C45" s="83" t="s">
        <v>18</v>
      </c>
      <c r="D45" s="80">
        <v>2019</v>
      </c>
      <c r="E45" s="118">
        <v>394993</v>
      </c>
      <c r="F45" s="125">
        <v>3277214</v>
      </c>
      <c r="G45" s="126"/>
      <c r="H45" s="84">
        <v>54224759.290000103</v>
      </c>
      <c r="I45" s="127">
        <v>16955958</v>
      </c>
      <c r="J45" s="126"/>
      <c r="K45" s="100">
        <v>37268801.289999999</v>
      </c>
      <c r="L45" s="76"/>
    </row>
    <row r="46" spans="1:14" x14ac:dyDescent="0.2">
      <c r="A46" s="76"/>
      <c r="B46" s="99"/>
      <c r="C46" s="83" t="s">
        <v>18</v>
      </c>
      <c r="D46" s="80">
        <v>2020</v>
      </c>
      <c r="E46" s="118">
        <v>251944</v>
      </c>
      <c r="F46" s="125">
        <v>2304839</v>
      </c>
      <c r="G46" s="126"/>
      <c r="H46" s="84">
        <v>38041423</v>
      </c>
      <c r="I46" s="127">
        <v>11131755</v>
      </c>
      <c r="J46" s="126"/>
      <c r="K46" s="100">
        <v>26909668</v>
      </c>
      <c r="L46" s="76"/>
      <c r="N46" s="88"/>
    </row>
    <row r="47" spans="1:14" x14ac:dyDescent="0.2">
      <c r="A47" s="76"/>
      <c r="B47" s="99"/>
      <c r="C47" s="83" t="s">
        <v>18</v>
      </c>
      <c r="D47" s="80">
        <v>2021</v>
      </c>
      <c r="E47" s="118">
        <v>298801</v>
      </c>
      <c r="F47" s="125">
        <v>2878662</v>
      </c>
      <c r="G47" s="126"/>
      <c r="H47" s="84">
        <v>45792212</v>
      </c>
      <c r="I47" s="127">
        <v>14684911</v>
      </c>
      <c r="J47" s="126"/>
      <c r="K47" s="100">
        <f>H47-I47</f>
        <v>31107301</v>
      </c>
      <c r="L47" s="76"/>
    </row>
    <row r="48" spans="1:14" x14ac:dyDescent="0.2">
      <c r="A48" s="76"/>
      <c r="B48" s="99"/>
      <c r="C48" s="83" t="s">
        <v>19</v>
      </c>
      <c r="D48" s="80">
        <v>2019</v>
      </c>
      <c r="E48" s="118">
        <v>2293</v>
      </c>
      <c r="F48" s="125">
        <v>16790</v>
      </c>
      <c r="G48" s="126"/>
      <c r="H48" s="84">
        <v>321946.03000000003</v>
      </c>
      <c r="I48" s="127">
        <v>59835</v>
      </c>
      <c r="J48" s="126"/>
      <c r="K48" s="100">
        <v>262111.03</v>
      </c>
      <c r="L48" s="76"/>
    </row>
    <row r="49" spans="1:14" x14ac:dyDescent="0.2">
      <c r="A49" s="76"/>
      <c r="B49" s="101"/>
      <c r="C49" s="85" t="s">
        <v>19</v>
      </c>
      <c r="D49" s="86">
        <v>2020</v>
      </c>
      <c r="E49" s="118">
        <v>6946</v>
      </c>
      <c r="F49" s="125">
        <v>57664</v>
      </c>
      <c r="G49" s="126"/>
      <c r="H49" s="84">
        <v>1088185</v>
      </c>
      <c r="I49" s="127">
        <v>171347</v>
      </c>
      <c r="J49" s="126"/>
      <c r="K49" s="100">
        <v>916838</v>
      </c>
      <c r="L49" s="76"/>
    </row>
    <row r="50" spans="1:14" x14ac:dyDescent="0.2">
      <c r="A50" s="76"/>
      <c r="B50" s="101"/>
      <c r="C50" s="85" t="s">
        <v>19</v>
      </c>
      <c r="D50" s="86">
        <v>2021</v>
      </c>
      <c r="E50" s="118">
        <v>8574</v>
      </c>
      <c r="F50" s="125">
        <v>66991</v>
      </c>
      <c r="G50" s="126"/>
      <c r="H50" s="84">
        <v>1340022</v>
      </c>
      <c r="I50" s="127">
        <v>224062</v>
      </c>
      <c r="J50" s="126"/>
      <c r="K50" s="100">
        <f>H50-I50</f>
        <v>1115960</v>
      </c>
      <c r="L50" s="76"/>
    </row>
    <row r="51" spans="1:14" x14ac:dyDescent="0.2">
      <c r="A51" s="76"/>
      <c r="B51" s="102" t="s">
        <v>15</v>
      </c>
      <c r="C51" s="103"/>
      <c r="D51" s="107"/>
      <c r="E51" s="142">
        <f>SUM(E41:E50)</f>
        <v>2386498</v>
      </c>
      <c r="F51" s="128">
        <f>SUM(F41:G50)</f>
        <v>19868860</v>
      </c>
      <c r="G51" s="129"/>
      <c r="H51" s="105">
        <f>SUM(H41:H50)</f>
        <v>319787585.57999998</v>
      </c>
      <c r="I51" s="130">
        <f>SUM(I41:J50)</f>
        <v>103736615</v>
      </c>
      <c r="J51" s="130"/>
      <c r="K51" s="106">
        <f>SUM(K41:K50)</f>
        <v>216050970.57999989</v>
      </c>
      <c r="L51" s="76"/>
    </row>
    <row r="52" spans="1:14" x14ac:dyDescent="0.2">
      <c r="A52" s="76"/>
      <c r="B52" s="89"/>
      <c r="C52" s="90"/>
      <c r="D52" s="89"/>
      <c r="E52" s="89"/>
      <c r="F52" s="123"/>
      <c r="G52" s="123"/>
      <c r="H52" s="89"/>
      <c r="I52" s="124"/>
      <c r="J52" s="124"/>
      <c r="K52" s="89"/>
      <c r="L52" s="76"/>
    </row>
    <row r="53" spans="1:14" x14ac:dyDescent="0.2">
      <c r="A53" s="76"/>
      <c r="B53" s="94" t="s">
        <v>16</v>
      </c>
      <c r="C53" s="95" t="s">
        <v>18</v>
      </c>
      <c r="D53" s="96">
        <v>2015</v>
      </c>
      <c r="E53" s="119">
        <v>89747</v>
      </c>
      <c r="F53" s="136">
        <v>661901</v>
      </c>
      <c r="G53" s="137"/>
      <c r="H53" s="97">
        <v>15519539.140000001</v>
      </c>
      <c r="I53" s="138">
        <v>4588680</v>
      </c>
      <c r="J53" s="137"/>
      <c r="K53" s="98">
        <v>10930859.140000001</v>
      </c>
      <c r="L53" s="76"/>
      <c r="N53" s="91"/>
    </row>
    <row r="54" spans="1:14" x14ac:dyDescent="0.2">
      <c r="A54" s="76"/>
      <c r="B54" s="99"/>
      <c r="C54" s="83" t="s">
        <v>18</v>
      </c>
      <c r="D54" s="80">
        <v>2016</v>
      </c>
      <c r="E54" s="118">
        <v>100505</v>
      </c>
      <c r="F54" s="125">
        <v>759144</v>
      </c>
      <c r="G54" s="126"/>
      <c r="H54" s="84">
        <v>17522493.1599999</v>
      </c>
      <c r="I54" s="127">
        <v>5211908</v>
      </c>
      <c r="J54" s="126"/>
      <c r="K54" s="100">
        <v>12310585.16</v>
      </c>
      <c r="L54" s="76"/>
      <c r="N54" s="91"/>
    </row>
    <row r="55" spans="1:14" x14ac:dyDescent="0.2">
      <c r="A55" s="76"/>
      <c r="B55" s="99"/>
      <c r="C55" s="83" t="s">
        <v>18</v>
      </c>
      <c r="D55" s="80">
        <v>2017</v>
      </c>
      <c r="E55" s="118">
        <v>102877</v>
      </c>
      <c r="F55" s="125">
        <v>796610</v>
      </c>
      <c r="G55" s="126"/>
      <c r="H55" s="84">
        <v>16042840.66</v>
      </c>
      <c r="I55" s="127">
        <v>5574360</v>
      </c>
      <c r="J55" s="126"/>
      <c r="K55" s="100">
        <v>10468480.66</v>
      </c>
      <c r="L55" s="76"/>
      <c r="N55" s="91"/>
    </row>
    <row r="56" spans="1:14" x14ac:dyDescent="0.2">
      <c r="A56" s="76"/>
      <c r="B56" s="99"/>
      <c r="C56" s="83" t="s">
        <v>18</v>
      </c>
      <c r="D56" s="80">
        <v>2018</v>
      </c>
      <c r="E56" s="118">
        <v>101694</v>
      </c>
      <c r="F56" s="125">
        <v>805485</v>
      </c>
      <c r="G56" s="126"/>
      <c r="H56" s="84">
        <v>13248622.939999999</v>
      </c>
      <c r="I56" s="127">
        <v>5667955</v>
      </c>
      <c r="J56" s="126"/>
      <c r="K56" s="100">
        <v>7580667.9400000004</v>
      </c>
      <c r="L56" s="76"/>
      <c r="N56" s="91"/>
    </row>
    <row r="57" spans="1:14" x14ac:dyDescent="0.2">
      <c r="A57" s="76"/>
      <c r="B57" s="99"/>
      <c r="C57" s="83" t="s">
        <v>18</v>
      </c>
      <c r="D57" s="80">
        <v>2019</v>
      </c>
      <c r="E57" s="118">
        <v>85747</v>
      </c>
      <c r="F57" s="125">
        <v>680961</v>
      </c>
      <c r="G57" s="126"/>
      <c r="H57" s="84">
        <v>11282006.130000001</v>
      </c>
      <c r="I57" s="127">
        <v>5663488</v>
      </c>
      <c r="J57" s="126"/>
      <c r="K57" s="100">
        <v>5618518.1299999999</v>
      </c>
      <c r="L57" s="76"/>
      <c r="N57" s="91"/>
    </row>
    <row r="58" spans="1:14" x14ac:dyDescent="0.2">
      <c r="A58" s="76"/>
      <c r="B58" s="99"/>
      <c r="C58" s="83" t="s">
        <v>18</v>
      </c>
      <c r="D58" s="80">
        <v>2020</v>
      </c>
      <c r="E58" s="118">
        <v>56911</v>
      </c>
      <c r="F58" s="125">
        <v>481557</v>
      </c>
      <c r="G58" s="126"/>
      <c r="H58" s="84">
        <v>8653791.6600000001</v>
      </c>
      <c r="I58" s="127">
        <v>3572808.57</v>
      </c>
      <c r="J58" s="126"/>
      <c r="K58" s="100">
        <v>5080983.09</v>
      </c>
      <c r="N58" s="91"/>
    </row>
    <row r="59" spans="1:14" x14ac:dyDescent="0.2">
      <c r="A59" s="76"/>
      <c r="B59" s="99"/>
      <c r="C59" s="83" t="s">
        <v>18</v>
      </c>
      <c r="D59" s="80">
        <v>2021</v>
      </c>
      <c r="E59" s="118">
        <v>59988</v>
      </c>
      <c r="F59" s="125">
        <v>529017</v>
      </c>
      <c r="G59" s="126"/>
      <c r="H59" s="84">
        <v>9876758</v>
      </c>
      <c r="I59" s="127">
        <v>4280646</v>
      </c>
      <c r="J59" s="126"/>
      <c r="K59" s="100">
        <f>H59-I59</f>
        <v>5596112</v>
      </c>
      <c r="N59" s="91"/>
    </row>
    <row r="60" spans="1:14" x14ac:dyDescent="0.2">
      <c r="A60" s="76"/>
      <c r="B60" s="99"/>
      <c r="C60" s="83" t="s">
        <v>19</v>
      </c>
      <c r="D60" s="80">
        <v>2016</v>
      </c>
      <c r="E60" s="118">
        <v>33</v>
      </c>
      <c r="F60" s="125">
        <v>212</v>
      </c>
      <c r="G60" s="126"/>
      <c r="H60" s="84">
        <v>3643.94</v>
      </c>
      <c r="I60" s="127">
        <v>0</v>
      </c>
      <c r="J60" s="126"/>
      <c r="K60" s="100">
        <v>3643.94</v>
      </c>
      <c r="L60" s="76"/>
      <c r="N60" s="91"/>
    </row>
    <row r="61" spans="1:14" x14ac:dyDescent="0.2">
      <c r="A61" s="76"/>
      <c r="B61" s="99"/>
      <c r="C61" s="83" t="s">
        <v>19</v>
      </c>
      <c r="D61" s="80">
        <v>2017</v>
      </c>
      <c r="E61" s="118">
        <v>236</v>
      </c>
      <c r="F61" s="125">
        <v>1643</v>
      </c>
      <c r="G61" s="126"/>
      <c r="H61" s="84">
        <v>42776.97</v>
      </c>
      <c r="I61" s="127">
        <v>6296</v>
      </c>
      <c r="J61" s="126"/>
      <c r="K61" s="100">
        <v>36480.97</v>
      </c>
      <c r="L61" s="76"/>
      <c r="N61" s="91"/>
    </row>
    <row r="62" spans="1:14" x14ac:dyDescent="0.2">
      <c r="A62" s="76"/>
      <c r="B62" s="99"/>
      <c r="C62" s="83" t="s">
        <v>19</v>
      </c>
      <c r="D62" s="80">
        <v>2018</v>
      </c>
      <c r="E62" s="118">
        <v>1830</v>
      </c>
      <c r="F62" s="125">
        <v>13154</v>
      </c>
      <c r="G62" s="126"/>
      <c r="H62" s="84">
        <v>287745.38</v>
      </c>
      <c r="I62" s="127">
        <v>53275</v>
      </c>
      <c r="J62" s="126"/>
      <c r="K62" s="100">
        <v>234470.38</v>
      </c>
      <c r="L62" s="76"/>
      <c r="N62" s="91"/>
    </row>
    <row r="63" spans="1:14" x14ac:dyDescent="0.2">
      <c r="A63" s="76"/>
      <c r="B63" s="99"/>
      <c r="C63" s="83" t="s">
        <v>19</v>
      </c>
      <c r="D63" s="80">
        <v>2019</v>
      </c>
      <c r="E63" s="118">
        <v>7011</v>
      </c>
      <c r="F63" s="125">
        <v>51377</v>
      </c>
      <c r="G63" s="126"/>
      <c r="H63" s="84">
        <v>1098964.1599999999</v>
      </c>
      <c r="I63" s="127">
        <v>62624</v>
      </c>
      <c r="J63" s="126"/>
      <c r="K63" s="100">
        <v>1036340.16</v>
      </c>
      <c r="L63" s="76"/>
      <c r="N63" s="91"/>
    </row>
    <row r="64" spans="1:14" x14ac:dyDescent="0.2">
      <c r="A64" s="76"/>
      <c r="B64" s="101"/>
      <c r="C64" s="83" t="s">
        <v>19</v>
      </c>
      <c r="D64" s="80">
        <v>2020</v>
      </c>
      <c r="E64" s="118">
        <v>6321</v>
      </c>
      <c r="F64" s="125">
        <v>47479</v>
      </c>
      <c r="G64" s="126"/>
      <c r="H64" s="84">
        <v>1071060.8999999999</v>
      </c>
      <c r="I64" s="127">
        <v>110087</v>
      </c>
      <c r="J64" s="126"/>
      <c r="K64" s="100">
        <v>960973.9</v>
      </c>
      <c r="L64" s="76"/>
      <c r="N64" s="91"/>
    </row>
    <row r="65" spans="1:14" x14ac:dyDescent="0.2">
      <c r="A65" s="76"/>
      <c r="B65" s="101"/>
      <c r="C65" s="83" t="s">
        <v>19</v>
      </c>
      <c r="D65" s="80">
        <v>2021</v>
      </c>
      <c r="E65" s="118">
        <v>12759</v>
      </c>
      <c r="F65" s="125">
        <v>91835</v>
      </c>
      <c r="G65" s="126"/>
      <c r="H65" s="84">
        <v>1133885</v>
      </c>
      <c r="I65" s="127">
        <v>0</v>
      </c>
      <c r="J65" s="126"/>
      <c r="K65" s="100">
        <f>H65</f>
        <v>1133885</v>
      </c>
      <c r="N65" s="91"/>
    </row>
    <row r="66" spans="1:14" x14ac:dyDescent="0.2">
      <c r="A66" s="76"/>
      <c r="B66" s="102" t="s">
        <v>16</v>
      </c>
      <c r="C66" s="103"/>
      <c r="D66" s="104"/>
      <c r="E66" s="142">
        <f>SUM(E53:E65)</f>
        <v>625659</v>
      </c>
      <c r="F66" s="128">
        <f>SUM(F53:G65)</f>
        <v>4920375</v>
      </c>
      <c r="G66" s="129"/>
      <c r="H66" s="105">
        <f>SUM(H53:H65)</f>
        <v>95784128.039999887</v>
      </c>
      <c r="I66" s="130">
        <f>SUM(I53:J65)</f>
        <v>34792127.57</v>
      </c>
      <c r="J66" s="130"/>
      <c r="K66" s="106">
        <f>SUM(K53:K65)</f>
        <v>60992000.469999999</v>
      </c>
      <c r="L66" s="76"/>
    </row>
    <row r="67" spans="1:14" x14ac:dyDescent="0.2">
      <c r="A67" s="76"/>
      <c r="B67" s="89"/>
      <c r="C67" s="90"/>
      <c r="D67" s="89"/>
      <c r="E67" s="89"/>
      <c r="F67" s="123"/>
      <c r="G67" s="123"/>
      <c r="H67" s="89"/>
      <c r="I67" s="124"/>
      <c r="J67" s="124"/>
      <c r="K67" s="89"/>
      <c r="L67" s="76"/>
    </row>
    <row r="68" spans="1:14" x14ac:dyDescent="0.2">
      <c r="A68" s="76"/>
      <c r="B68" s="94" t="s">
        <v>17</v>
      </c>
      <c r="C68" s="95" t="s">
        <v>18</v>
      </c>
      <c r="D68" s="96">
        <v>2015</v>
      </c>
      <c r="E68" s="119">
        <v>82921</v>
      </c>
      <c r="F68" s="136">
        <v>689621</v>
      </c>
      <c r="G68" s="137"/>
      <c r="H68" s="97">
        <v>9700758.9100000001</v>
      </c>
      <c r="I68" s="138">
        <v>4178520</v>
      </c>
      <c r="J68" s="137"/>
      <c r="K68" s="98">
        <v>5522238.9100000104</v>
      </c>
      <c r="L68" s="76"/>
    </row>
    <row r="69" spans="1:14" x14ac:dyDescent="0.2">
      <c r="A69" s="76"/>
      <c r="B69" s="99"/>
      <c r="C69" s="83" t="s">
        <v>18</v>
      </c>
      <c r="D69" s="80">
        <v>2016</v>
      </c>
      <c r="E69" s="118">
        <v>112069</v>
      </c>
      <c r="F69" s="125">
        <v>984031</v>
      </c>
      <c r="G69" s="126"/>
      <c r="H69" s="84">
        <v>13310207.18</v>
      </c>
      <c r="I69" s="127">
        <v>5918483</v>
      </c>
      <c r="J69" s="126"/>
      <c r="K69" s="100">
        <v>7391724.1799999997</v>
      </c>
      <c r="L69" s="76"/>
    </row>
    <row r="70" spans="1:14" x14ac:dyDescent="0.2">
      <c r="A70" s="76"/>
      <c r="B70" s="99"/>
      <c r="C70" s="83" t="s">
        <v>18</v>
      </c>
      <c r="D70" s="80">
        <v>2017</v>
      </c>
      <c r="E70" s="118">
        <v>140798</v>
      </c>
      <c r="F70" s="125">
        <v>1304853</v>
      </c>
      <c r="G70" s="126"/>
      <c r="H70" s="84">
        <v>17480195.82</v>
      </c>
      <c r="I70" s="127">
        <v>7598454</v>
      </c>
      <c r="J70" s="126"/>
      <c r="K70" s="100">
        <v>9881741.8200000208</v>
      </c>
      <c r="L70" s="76"/>
    </row>
    <row r="71" spans="1:14" x14ac:dyDescent="0.2">
      <c r="A71" s="76"/>
      <c r="B71" s="99"/>
      <c r="C71" s="83" t="s">
        <v>18</v>
      </c>
      <c r="D71" s="80">
        <v>2018</v>
      </c>
      <c r="E71" s="118">
        <v>168209</v>
      </c>
      <c r="F71" s="125">
        <v>1623404</v>
      </c>
      <c r="G71" s="126"/>
      <c r="H71" s="84">
        <v>21777566.129999999</v>
      </c>
      <c r="I71" s="127">
        <v>9251144</v>
      </c>
      <c r="J71" s="126"/>
      <c r="K71" s="100">
        <v>12526422.130000001</v>
      </c>
      <c r="L71" s="76"/>
    </row>
    <row r="72" spans="1:14" x14ac:dyDescent="0.2">
      <c r="A72" s="76"/>
      <c r="B72" s="99"/>
      <c r="C72" s="83" t="s">
        <v>18</v>
      </c>
      <c r="D72" s="80">
        <v>2019</v>
      </c>
      <c r="E72" s="118">
        <v>168612</v>
      </c>
      <c r="F72" s="125">
        <v>1754131</v>
      </c>
      <c r="G72" s="126"/>
      <c r="H72" s="84">
        <v>22517630.34</v>
      </c>
      <c r="I72" s="127">
        <v>9635326</v>
      </c>
      <c r="J72" s="126"/>
      <c r="K72" s="100">
        <v>12882304.34</v>
      </c>
      <c r="L72" s="76"/>
    </row>
    <row r="73" spans="1:14" x14ac:dyDescent="0.2">
      <c r="A73" s="76"/>
      <c r="B73" s="99"/>
      <c r="C73" s="83" t="s">
        <v>18</v>
      </c>
      <c r="D73" s="80">
        <v>2020</v>
      </c>
      <c r="E73" s="118">
        <v>115704</v>
      </c>
      <c r="F73" s="125">
        <v>1354984</v>
      </c>
      <c r="G73" s="126"/>
      <c r="H73" s="84">
        <v>17253111</v>
      </c>
      <c r="I73" s="127">
        <v>7087553</v>
      </c>
      <c r="J73" s="126"/>
      <c r="K73" s="100">
        <v>10165558</v>
      </c>
    </row>
    <row r="74" spans="1:14" x14ac:dyDescent="0.2">
      <c r="A74" s="76"/>
      <c r="B74" s="99"/>
      <c r="C74" s="83" t="s">
        <v>18</v>
      </c>
      <c r="D74" s="80">
        <v>2021</v>
      </c>
      <c r="E74" s="118">
        <v>151101</v>
      </c>
      <c r="F74" s="125">
        <v>1820805</v>
      </c>
      <c r="G74" s="126"/>
      <c r="H74" s="84">
        <v>24573208</v>
      </c>
      <c r="I74" s="127">
        <v>9954597</v>
      </c>
      <c r="J74" s="126"/>
      <c r="K74" s="100">
        <f>H74-I74</f>
        <v>14618611</v>
      </c>
    </row>
    <row r="75" spans="1:14" x14ac:dyDescent="0.2">
      <c r="A75" s="76"/>
      <c r="B75" s="99"/>
      <c r="C75" s="83" t="s">
        <v>19</v>
      </c>
      <c r="D75" s="80">
        <v>2018</v>
      </c>
      <c r="E75" s="118">
        <v>41</v>
      </c>
      <c r="F75" s="125">
        <v>230</v>
      </c>
      <c r="G75" s="126"/>
      <c r="H75" s="84">
        <v>6645.8</v>
      </c>
      <c r="I75" s="127">
        <v>1737</v>
      </c>
      <c r="J75" s="126"/>
      <c r="K75" s="100">
        <v>4908.8</v>
      </c>
      <c r="L75" s="76"/>
    </row>
    <row r="76" spans="1:14" x14ac:dyDescent="0.2">
      <c r="A76" s="76"/>
      <c r="B76" s="99"/>
      <c r="C76" s="83" t="s">
        <v>19</v>
      </c>
      <c r="D76" s="80">
        <v>2019</v>
      </c>
      <c r="E76" s="118">
        <v>437</v>
      </c>
      <c r="F76" s="125">
        <v>3898</v>
      </c>
      <c r="G76" s="126"/>
      <c r="H76" s="84">
        <v>76179.37</v>
      </c>
      <c r="I76" s="127">
        <v>11620</v>
      </c>
      <c r="J76" s="126"/>
      <c r="K76" s="100">
        <v>64559.37</v>
      </c>
      <c r="L76" s="76"/>
    </row>
    <row r="77" spans="1:14" x14ac:dyDescent="0.2">
      <c r="A77" s="76"/>
      <c r="B77" s="101"/>
      <c r="C77" s="83" t="s">
        <v>19</v>
      </c>
      <c r="D77" s="80">
        <v>2020</v>
      </c>
      <c r="E77" s="118">
        <v>1907</v>
      </c>
      <c r="F77" s="125">
        <v>17509</v>
      </c>
      <c r="G77" s="126"/>
      <c r="H77" s="84">
        <v>407175.74</v>
      </c>
      <c r="I77" s="127">
        <v>50160</v>
      </c>
      <c r="J77" s="126"/>
      <c r="K77" s="100">
        <v>357015.74</v>
      </c>
      <c r="L77" s="76"/>
    </row>
    <row r="78" spans="1:14" x14ac:dyDescent="0.2">
      <c r="A78" s="76"/>
      <c r="B78" s="101"/>
      <c r="C78" s="83" t="s">
        <v>19</v>
      </c>
      <c r="D78" s="80">
        <v>2021</v>
      </c>
      <c r="E78" s="118">
        <v>2823</v>
      </c>
      <c r="F78" s="125">
        <v>26168</v>
      </c>
      <c r="G78" s="126"/>
      <c r="H78" s="84">
        <v>657057</v>
      </c>
      <c r="I78" s="127">
        <v>74724</v>
      </c>
      <c r="J78" s="126"/>
      <c r="K78" s="100">
        <f>H78-I78</f>
        <v>582333</v>
      </c>
      <c r="L78" s="92"/>
    </row>
    <row r="79" spans="1:14" x14ac:dyDescent="0.2">
      <c r="A79" s="76"/>
      <c r="B79" s="102" t="s">
        <v>17</v>
      </c>
      <c r="C79" s="103"/>
      <c r="D79" s="104"/>
      <c r="E79" s="142">
        <f>SUM(E68:E78)</f>
        <v>944622</v>
      </c>
      <c r="F79" s="128">
        <f>SUM(F68:G78)</f>
        <v>9579634</v>
      </c>
      <c r="G79" s="129"/>
      <c r="H79" s="105">
        <f>SUM(H68:H78)</f>
        <v>127759735.28999999</v>
      </c>
      <c r="I79" s="130">
        <f>SUM(I68:J78)</f>
        <v>53762318</v>
      </c>
      <c r="J79" s="130"/>
      <c r="K79" s="106">
        <f>SUM(K68:K78)</f>
        <v>73997417.290000036</v>
      </c>
      <c r="L79" s="76"/>
    </row>
    <row r="80" spans="1:14" x14ac:dyDescent="0.2">
      <c r="A80" s="76"/>
      <c r="B80" s="89"/>
      <c r="C80" s="90"/>
      <c r="D80" s="89"/>
      <c r="E80" s="89"/>
      <c r="F80" s="123"/>
      <c r="G80" s="123"/>
      <c r="H80" s="89"/>
      <c r="I80" s="124"/>
      <c r="J80" s="124"/>
      <c r="K80" s="89"/>
      <c r="L80" s="76"/>
    </row>
    <row r="81" spans="1:12" x14ac:dyDescent="0.2">
      <c r="A81" s="76"/>
      <c r="B81" s="76"/>
      <c r="C81" s="76"/>
      <c r="D81" s="76"/>
      <c r="E81" s="76"/>
      <c r="F81" s="93"/>
      <c r="G81" s="93"/>
      <c r="H81" s="76"/>
      <c r="I81" s="76"/>
      <c r="J81" s="76"/>
      <c r="K81" s="76"/>
      <c r="L81" s="76"/>
    </row>
  </sheetData>
  <mergeCells count="133">
    <mergeCell ref="I65:J65"/>
    <mergeCell ref="F64:G64"/>
    <mergeCell ref="F65:G65"/>
    <mergeCell ref="F68:G68"/>
    <mergeCell ref="F69:G69"/>
    <mergeCell ref="F70:G70"/>
    <mergeCell ref="F74:G74"/>
    <mergeCell ref="F78:G78"/>
    <mergeCell ref="I68:J68"/>
    <mergeCell ref="I69:J69"/>
    <mergeCell ref="I70:J70"/>
    <mergeCell ref="I74:J74"/>
    <mergeCell ref="I78:J78"/>
    <mergeCell ref="I52:J52"/>
    <mergeCell ref="I57:J57"/>
    <mergeCell ref="F58:G58"/>
    <mergeCell ref="I58:J58"/>
    <mergeCell ref="F53:G53"/>
    <mergeCell ref="I53:J53"/>
    <mergeCell ref="F54:G54"/>
    <mergeCell ref="I54:J54"/>
    <mergeCell ref="I64:J64"/>
    <mergeCell ref="F41:G41"/>
    <mergeCell ref="F42:G42"/>
    <mergeCell ref="F43:G43"/>
    <mergeCell ref="F44:G44"/>
    <mergeCell ref="F45:G45"/>
    <mergeCell ref="F50:G50"/>
    <mergeCell ref="I41:J41"/>
    <mergeCell ref="I42:J42"/>
    <mergeCell ref="I43:J43"/>
    <mergeCell ref="I44:J44"/>
    <mergeCell ref="I45:J45"/>
    <mergeCell ref="I50:J50"/>
    <mergeCell ref="F80:G80"/>
    <mergeCell ref="I80:J80"/>
    <mergeCell ref="F71:G71"/>
    <mergeCell ref="I71:J71"/>
    <mergeCell ref="F72:G72"/>
    <mergeCell ref="I72:J72"/>
    <mergeCell ref="F75:G75"/>
    <mergeCell ref="I75:J75"/>
    <mergeCell ref="F76:G76"/>
    <mergeCell ref="I76:J76"/>
    <mergeCell ref="F79:G79"/>
    <mergeCell ref="I79:J79"/>
    <mergeCell ref="F77:G77"/>
    <mergeCell ref="I51:J51"/>
    <mergeCell ref="I61:J61"/>
    <mergeCell ref="F62:G62"/>
    <mergeCell ref="I62:J62"/>
    <mergeCell ref="F55:G55"/>
    <mergeCell ref="I55:J55"/>
    <mergeCell ref="F56:G56"/>
    <mergeCell ref="I56:J56"/>
    <mergeCell ref="I77:J77"/>
    <mergeCell ref="F73:G73"/>
    <mergeCell ref="I73:J73"/>
    <mergeCell ref="F63:G63"/>
    <mergeCell ref="I63:J63"/>
    <mergeCell ref="F66:G66"/>
    <mergeCell ref="I66:J66"/>
    <mergeCell ref="F67:G67"/>
    <mergeCell ref="I67:J67"/>
    <mergeCell ref="F60:G60"/>
    <mergeCell ref="I60:J60"/>
    <mergeCell ref="F61:G61"/>
    <mergeCell ref="F59:G59"/>
    <mergeCell ref="I59:J59"/>
    <mergeCell ref="F57:G57"/>
    <mergeCell ref="F52:G52"/>
    <mergeCell ref="F51:G51"/>
    <mergeCell ref="F46:G46"/>
    <mergeCell ref="F49:G49"/>
    <mergeCell ref="I46:J46"/>
    <mergeCell ref="I49:J49"/>
    <mergeCell ref="K4:L4"/>
    <mergeCell ref="F16:G16"/>
    <mergeCell ref="I16:J16"/>
    <mergeCell ref="F27:G27"/>
    <mergeCell ref="I27:J27"/>
    <mergeCell ref="F28:G28"/>
    <mergeCell ref="I28:J28"/>
    <mergeCell ref="F29:G29"/>
    <mergeCell ref="I29:J29"/>
    <mergeCell ref="F20:G20"/>
    <mergeCell ref="I20:J20"/>
    <mergeCell ref="F21:G21"/>
    <mergeCell ref="I21:J21"/>
    <mergeCell ref="F26:G26"/>
    <mergeCell ref="I26:J26"/>
    <mergeCell ref="F17:G17"/>
    <mergeCell ref="I17:J17"/>
    <mergeCell ref="F18:G18"/>
    <mergeCell ref="I18:J18"/>
    <mergeCell ref="E4:F4"/>
    <mergeCell ref="G4:H4"/>
    <mergeCell ref="I4:J4"/>
    <mergeCell ref="I33:J33"/>
    <mergeCell ref="I37:J37"/>
    <mergeCell ref="F47:G47"/>
    <mergeCell ref="I47:J47"/>
    <mergeCell ref="F48:G48"/>
    <mergeCell ref="I48:J48"/>
    <mergeCell ref="F22:G22"/>
    <mergeCell ref="I22:J22"/>
    <mergeCell ref="F37:G37"/>
    <mergeCell ref="F38:G38"/>
    <mergeCell ref="I31:J31"/>
    <mergeCell ref="I32:J32"/>
    <mergeCell ref="I34:J34"/>
    <mergeCell ref="I35:J35"/>
    <mergeCell ref="I36:J36"/>
    <mergeCell ref="I38:J38"/>
    <mergeCell ref="F23:G23"/>
    <mergeCell ref="F25:G25"/>
    <mergeCell ref="I23:J23"/>
    <mergeCell ref="I25:J25"/>
    <mergeCell ref="F32:G32"/>
    <mergeCell ref="F40:G40"/>
    <mergeCell ref="I40:J40"/>
    <mergeCell ref="F30:G30"/>
    <mergeCell ref="I30:J30"/>
    <mergeCell ref="F31:G31"/>
    <mergeCell ref="F39:G39"/>
    <mergeCell ref="I39:J39"/>
    <mergeCell ref="F19:G19"/>
    <mergeCell ref="I19:J19"/>
    <mergeCell ref="F33:G33"/>
    <mergeCell ref="F34:G34"/>
    <mergeCell ref="F35:G35"/>
    <mergeCell ref="F36:G36"/>
    <mergeCell ref="E24:K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B7C2-ADA6-4E2B-B91E-4B16B47BD729}">
  <dimension ref="D5:J19"/>
  <sheetViews>
    <sheetView workbookViewId="0">
      <selection activeCell="J17" sqref="J17"/>
    </sheetView>
  </sheetViews>
  <sheetFormatPr defaultColWidth="9.140625" defaultRowHeight="12.75" x14ac:dyDescent="0.2"/>
  <cols>
    <col min="1" max="4" width="9.140625" style="50"/>
    <col min="5" max="5" width="20" style="50" customWidth="1"/>
    <col min="6" max="7" width="17.7109375" style="50" customWidth="1"/>
    <col min="8" max="8" width="16" style="50" customWidth="1"/>
    <col min="9" max="9" width="12.7109375" style="50" customWidth="1"/>
    <col min="10" max="10" width="18.7109375" style="50" customWidth="1"/>
    <col min="11" max="16384" width="9.140625" style="50"/>
  </cols>
  <sheetData>
    <row r="5" spans="4:10" ht="13.5" thickBot="1" x14ac:dyDescent="0.25">
      <c r="D5" s="50" t="s">
        <v>52</v>
      </c>
      <c r="J5" s="50" t="s">
        <v>51</v>
      </c>
    </row>
    <row r="6" spans="4:10" ht="13.5" thickBot="1" x14ac:dyDescent="0.25">
      <c r="D6" s="55" t="s">
        <v>1</v>
      </c>
      <c r="E6" s="55" t="s">
        <v>2</v>
      </c>
      <c r="F6" s="55" t="s">
        <v>3</v>
      </c>
      <c r="G6" s="55" t="s">
        <v>26</v>
      </c>
      <c r="H6" s="55" t="s">
        <v>40</v>
      </c>
      <c r="I6" s="55" t="s">
        <v>5</v>
      </c>
      <c r="J6" s="55" t="s">
        <v>41</v>
      </c>
    </row>
    <row r="7" spans="4:10" ht="13.5" thickBot="1" x14ac:dyDescent="0.25">
      <c r="D7" s="51">
        <v>2021</v>
      </c>
      <c r="E7" s="52" t="s">
        <v>42</v>
      </c>
      <c r="F7" s="53">
        <f>14953349.12+206853</f>
        <v>15160202.119999999</v>
      </c>
      <c r="G7" s="54">
        <f>6713531+1894</f>
        <v>6715425</v>
      </c>
      <c r="H7" s="53">
        <f>+F7+G7</f>
        <v>21875627.119999997</v>
      </c>
      <c r="I7" s="54">
        <f>138289+1221</f>
        <v>139510</v>
      </c>
      <c r="J7" s="54">
        <v>1312988</v>
      </c>
    </row>
    <row r="8" spans="4:10" ht="13.5" thickBot="1" x14ac:dyDescent="0.25">
      <c r="D8" s="51">
        <v>2021</v>
      </c>
      <c r="E8" s="52" t="s">
        <v>43</v>
      </c>
      <c r="F8" s="53">
        <v>51537984.100000009</v>
      </c>
      <c r="G8" s="54">
        <v>9921839</v>
      </c>
      <c r="H8" s="53">
        <f>+F8+G8</f>
        <v>61459823.100000009</v>
      </c>
      <c r="I8" s="54">
        <v>196334</v>
      </c>
      <c r="J8" s="54">
        <v>2263218</v>
      </c>
    </row>
    <row r="9" spans="4:10" ht="13.5" thickBot="1" x14ac:dyDescent="0.25">
      <c r="D9" s="51">
        <v>2021</v>
      </c>
      <c r="E9" s="52" t="s">
        <v>44</v>
      </c>
      <c r="F9" s="53">
        <v>15150242</v>
      </c>
      <c r="G9" s="51">
        <v>0</v>
      </c>
      <c r="H9" s="53">
        <f t="shared" ref="H9:H13" si="0">+F9+G9</f>
        <v>15150242</v>
      </c>
      <c r="I9" s="54">
        <v>78320</v>
      </c>
      <c r="J9" s="54">
        <v>1090975</v>
      </c>
    </row>
    <row r="10" spans="4:10" ht="13.5" thickBot="1" x14ac:dyDescent="0.25">
      <c r="D10" s="51">
        <v>2021</v>
      </c>
      <c r="E10" s="52" t="s">
        <v>45</v>
      </c>
      <c r="F10" s="53">
        <v>15126067.820000004</v>
      </c>
      <c r="G10" s="54">
        <v>10560</v>
      </c>
      <c r="H10" s="53">
        <f t="shared" si="0"/>
        <v>15136627.820000004</v>
      </c>
      <c r="I10" s="54">
        <v>90365</v>
      </c>
      <c r="J10" s="54">
        <v>690027</v>
      </c>
    </row>
    <row r="11" spans="4:10" ht="13.5" thickBot="1" x14ac:dyDescent="0.25">
      <c r="D11" s="51">
        <v>2021</v>
      </c>
      <c r="E11" s="52" t="s">
        <v>46</v>
      </c>
      <c r="F11" s="53">
        <v>139159173</v>
      </c>
      <c r="G11" s="51">
        <v>0</v>
      </c>
      <c r="H11" s="53">
        <f t="shared" si="0"/>
        <v>139159173</v>
      </c>
      <c r="I11" s="54">
        <v>414523</v>
      </c>
      <c r="J11" s="54">
        <v>13313180</v>
      </c>
    </row>
    <row r="12" spans="4:10" ht="13.5" thickBot="1" x14ac:dyDescent="0.25">
      <c r="D12" s="51">
        <v>2021</v>
      </c>
      <c r="E12" s="52" t="s">
        <v>47</v>
      </c>
      <c r="F12" s="53">
        <v>456648.54</v>
      </c>
      <c r="G12" s="54">
        <v>95930</v>
      </c>
      <c r="H12" s="53">
        <f t="shared" si="0"/>
        <v>552578.54</v>
      </c>
      <c r="I12" s="54">
        <v>3711</v>
      </c>
      <c r="J12" s="54">
        <v>37016</v>
      </c>
    </row>
    <row r="13" spans="4:10" ht="13.5" thickBot="1" x14ac:dyDescent="0.25">
      <c r="D13" s="51">
        <v>2021</v>
      </c>
      <c r="E13" s="52" t="s">
        <v>48</v>
      </c>
      <c r="F13" s="53">
        <v>3915700</v>
      </c>
      <c r="G13" s="54">
        <v>360175</v>
      </c>
      <c r="H13" s="53">
        <f t="shared" si="0"/>
        <v>4275875</v>
      </c>
      <c r="I13" s="54">
        <v>24115</v>
      </c>
      <c r="J13" s="54">
        <v>357326</v>
      </c>
    </row>
    <row r="16" spans="4:10" x14ac:dyDescent="0.2">
      <c r="D16" s="50">
        <v>2021</v>
      </c>
      <c r="E16" s="50" t="s">
        <v>18</v>
      </c>
      <c r="F16" s="56">
        <f>+F7+F13</f>
        <v>19075902.119999997</v>
      </c>
      <c r="G16" s="56">
        <f>+G7+G13</f>
        <v>7075600</v>
      </c>
      <c r="H16" s="56">
        <f t="shared" ref="H16:I16" si="1">+H7+H13</f>
        <v>26151502.119999997</v>
      </c>
      <c r="I16" s="56">
        <f t="shared" si="1"/>
        <v>163625</v>
      </c>
      <c r="J16" s="56">
        <f>+J7+J13</f>
        <v>1670314</v>
      </c>
    </row>
    <row r="17" spans="4:10" x14ac:dyDescent="0.2">
      <c r="D17" s="50">
        <v>2021</v>
      </c>
      <c r="E17" s="50" t="s">
        <v>19</v>
      </c>
      <c r="F17" s="56">
        <f>+F12</f>
        <v>456648.54</v>
      </c>
      <c r="G17" s="56">
        <f t="shared" ref="G17:J17" si="2">+G12</f>
        <v>95930</v>
      </c>
      <c r="H17" s="56">
        <f t="shared" si="2"/>
        <v>552578.54</v>
      </c>
      <c r="I17" s="56">
        <f t="shared" si="2"/>
        <v>3711</v>
      </c>
      <c r="J17" s="56">
        <f t="shared" si="2"/>
        <v>37016</v>
      </c>
    </row>
    <row r="19" spans="4:10" x14ac:dyDescent="0.2">
      <c r="D19" s="50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Antal rejser pr rejsetype</vt:lpstr>
      <vt:lpstr>Nærmere om åben flextrafik</vt:lpstr>
      <vt:lpstr>Midttrafik</vt:lpstr>
    </vt:vector>
  </TitlesOfParts>
  <Company>Trafikselskabet Movia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Bjørn Rasmussen</dc:creator>
  <cp:lastModifiedBy>Tina Schelde</cp:lastModifiedBy>
  <dcterms:created xsi:type="dcterms:W3CDTF">2020-01-27T12:37:39Z</dcterms:created>
  <dcterms:modified xsi:type="dcterms:W3CDTF">2022-10-07T07:53:04Z</dcterms:modified>
</cp:coreProperties>
</file>